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uri\Desktop\שולחן עבודה\"/>
    </mc:Choice>
  </mc:AlternateContent>
  <bookViews>
    <workbookView xWindow="0" yWindow="0" windowWidth="25200" windowHeight="11880" tabRatio="899" firstSheet="1" activeTab="1"/>
  </bookViews>
  <sheets>
    <sheet name="סיכום עלויות - דצמבר 16 בפועל" sheetId="85" state="hidden" r:id="rId1"/>
    <sheet name="תקציב שנתי - דוח מנהלים " sheetId="108" r:id="rId2"/>
    <sheet name="תקציב חודשי - דוח מנהלים" sheetId="107" r:id="rId3"/>
    <sheet name="תקציב לכלל האתרים" sheetId="106" state="hidden" r:id="rId4"/>
    <sheet name="תקציב הלל" sheetId="105" state="hidden" r:id="rId5"/>
    <sheet name="סיכום עלויות  - הלל" sheetId="104" state="hidden" r:id="rId6"/>
    <sheet name="תקציב רשות אוכלוסין" sheetId="103" state="hidden" r:id="rId7"/>
    <sheet name="סיכום עלויות - רשות אוכלוסין" sheetId="102" state="hidden" r:id="rId8"/>
    <sheet name="תקציב ג'נרלי" sheetId="101" state="hidden" r:id="rId9"/>
    <sheet name="סיכום עלויות ג'נרלי" sheetId="100" state="hidden" r:id="rId10"/>
    <sheet name="תקציב חפציבה" sheetId="97" state="hidden" r:id="rId11"/>
    <sheet name="סיכום עלויות חפציבה" sheetId="99" state="hidden" r:id="rId12"/>
    <sheet name="תקציב עטרות" sheetId="95" state="hidden" r:id="rId13"/>
    <sheet name="סיכום עלויות עטרות" sheetId="94" state="hidden" r:id="rId14"/>
    <sheet name="תקציב מאמוניה" sheetId="92" state="hidden" r:id="rId15"/>
    <sheet name="תקציב מנחם בגין" sheetId="91" state="hidden" r:id="rId16"/>
    <sheet name="סיכום עלויות חודשי - צמוד 01.19" sheetId="98" state="hidden" r:id="rId17"/>
    <sheet name="סיכום עלויות מנחם בגין ומאמוניה" sheetId="93" state="hidden" r:id="rId18"/>
    <sheet name="סיכום עלויות חודשי - צמוד 01.17" sheetId="88" state="hidden" r:id="rId19"/>
    <sheet name="סיכום עלויות חודשי - בסיס" sheetId="89" state="hidden" r:id="rId20"/>
    <sheet name="מדדים - סיכום" sheetId="11" state="hidden" r:id="rId21"/>
    <sheet name="מדד המחירים לצרכן" sheetId="87" state="hidden" r:id="rId22"/>
    <sheet name="השכר הממוצע לפי ביטוח לאומי" sheetId="86" state="hidden" r:id="rId23"/>
    <sheet name="הצמדה שעת נקיון " sheetId="83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0">'סיכום עלויות - דצמבר 16 בפועל'!$A$2:$O$74</definedName>
    <definedName name="_xlnm.Print_Area" localSheetId="7">'סיכום עלויות - רשות אוכלוסין'!$A$2:$N$11</definedName>
    <definedName name="_xlnm.Print_Area" localSheetId="5">'סיכום עלויות  - הלל'!$A$2:$N$9</definedName>
    <definedName name="_xlnm.Print_Area" localSheetId="9">'סיכום עלויות ג''נרלי'!$A$2:$M$50</definedName>
    <definedName name="_xlnm.Print_Area" localSheetId="19">'סיכום עלויות חודשי - בסיס'!$A$2:$O$74</definedName>
    <definedName name="_xlnm.Print_Area" localSheetId="18">'סיכום עלויות חודשי - צמוד 01.17'!$A$2:$O$74</definedName>
    <definedName name="_xlnm.Print_Area" localSheetId="16">'סיכום עלויות חודשי - צמוד 01.19'!$A$2:$O$74</definedName>
    <definedName name="_xlnm.Print_Area" localSheetId="11">'סיכום עלויות חפציבה'!$A$2:$O$45</definedName>
    <definedName name="_xlnm.Print_Area" localSheetId="17">'סיכום עלויות מנחם בגין ומאמוניה'!$A$2:$O$74</definedName>
    <definedName name="_xlnm.Print_Area" localSheetId="13">'סיכום עלויות עטרות'!$A$2:$N$36</definedName>
    <definedName name="_xlnm.Print_Area" localSheetId="8">'תקציב ג''נרלי'!$B$3:$L$56</definedName>
    <definedName name="_xlnm.Print_Area" localSheetId="4">'תקציב הלל'!$A$1:$L$56</definedName>
    <definedName name="_xlnm.Print_Area" localSheetId="2">'תקציב חודשי - דוח מנהלים'!$A$1:$F$44</definedName>
    <definedName name="_xlnm.Print_Area" localSheetId="10">'תקציב חפציבה'!$B$1:$L$56</definedName>
    <definedName name="_xlnm.Print_Area" localSheetId="3">'תקציב לכלל האתרים'!$B$1:$L$55</definedName>
    <definedName name="_xlnm.Print_Area" localSheetId="14">'תקציב מאמוניה'!$B$1:$L$56</definedName>
    <definedName name="_xlnm.Print_Area" localSheetId="15">'תקציב מנחם בגין'!$B$1:$L$56</definedName>
    <definedName name="_xlnm.Print_Area" localSheetId="12">'תקציב עטרות'!$B$1:$L$56</definedName>
    <definedName name="_xlnm.Print_Area" localSheetId="6">'תקציב רשות אוכלוסין'!$A$1:$L$56</definedName>
    <definedName name="_xlnm.Print_Area" localSheetId="1">'תקציב שנתי - דוח מנהלים '!$A$1:$F$45</definedName>
    <definedName name="ימי_חול_בחודש" localSheetId="7">[1]תבניות!$K$22</definedName>
    <definedName name="ימי_חול_בחודש" localSheetId="5">[1]תבניות!$K$22</definedName>
    <definedName name="ימי_חול_בחודש" localSheetId="9">[1]תבניות!$K$22</definedName>
    <definedName name="ימי_חול_בחודש" localSheetId="16">[1]תבניות!$K$22</definedName>
    <definedName name="ימי_חול_בחודש" localSheetId="11">[1]תבניות!$K$22</definedName>
    <definedName name="ימי_חול_בחודש" localSheetId="13">[1]תבניות!$K$22</definedName>
    <definedName name="ימי_חול_בחודש">[2]תבניות!$K$22</definedName>
    <definedName name="ימי_שבת_בחודש" localSheetId="7">[1]תבניות!$M$22</definedName>
    <definedName name="ימי_שבת_בחודש" localSheetId="5">[1]תבניות!$M$22</definedName>
    <definedName name="ימי_שבת_בחודש" localSheetId="9">[1]תבניות!$M$22</definedName>
    <definedName name="ימי_שבת_בחודש" localSheetId="16">[1]תבניות!$M$22</definedName>
    <definedName name="ימי_שבת_בחודש" localSheetId="11">[1]תבניות!$M$22</definedName>
    <definedName name="ימי_שבת_בחודש" localSheetId="13">[1]תבניות!$M$22</definedName>
    <definedName name="ימי_שבת_בחודש">[2]תבניות!$M$22</definedName>
    <definedName name="ימי_שישי_בחודש" localSheetId="7">[1]תבניות!$L$22</definedName>
    <definedName name="ימי_שישי_בחודש" localSheetId="5">[1]תבניות!$L$22</definedName>
    <definedName name="ימי_שישי_בחודש" localSheetId="9">[1]תבניות!$L$22</definedName>
    <definedName name="ימי_שישי_בחודש" localSheetId="16">[1]תבניות!$L$22</definedName>
    <definedName name="ימי_שישי_בחודש" localSheetId="11">[1]תבניות!$L$22</definedName>
    <definedName name="ימי_שישי_בחודש" localSheetId="13">[1]תבניות!$L$22</definedName>
    <definedName name="ימי_שישי_בחודש">[2]תבניות!$L$22</definedName>
    <definedName name="ק" localSheetId="7">#REF!</definedName>
    <definedName name="ק" localSheetId="5">#REF!</definedName>
    <definedName name="ק" localSheetId="9">#REF!</definedName>
    <definedName name="ק" localSheetId="16">#REF!</definedName>
    <definedName name="ק" localSheetId="11">#REF!</definedName>
    <definedName name="ק" localSheetId="8">#REF!</definedName>
    <definedName name="ק" localSheetId="4">#REF!</definedName>
    <definedName name="ק" localSheetId="10">#REF!</definedName>
    <definedName name="ק" localSheetId="12">#REF!</definedName>
    <definedName name="ק" localSheetId="6">#REF!</definedName>
    <definedName name="ק">#REF!</definedName>
    <definedName name="תאריך" localSheetId="7">#REF!</definedName>
    <definedName name="תאריך" localSheetId="5">#REF!</definedName>
    <definedName name="תאריך" localSheetId="9">#REF!</definedName>
    <definedName name="תאריך" localSheetId="19">#REF!</definedName>
    <definedName name="תאריך" localSheetId="18">#REF!</definedName>
    <definedName name="תאריך" localSheetId="16">#REF!</definedName>
    <definedName name="תאריך" localSheetId="11">#REF!</definedName>
    <definedName name="תאריך" localSheetId="17">#REF!</definedName>
    <definedName name="תאריך" localSheetId="13">#REF!</definedName>
    <definedName name="תאריך" localSheetId="8">#REF!</definedName>
    <definedName name="תאריך" localSheetId="4">#REF!</definedName>
    <definedName name="תאריך" localSheetId="10">#REF!</definedName>
    <definedName name="תאריך" localSheetId="14">#REF!</definedName>
    <definedName name="תאריך" localSheetId="12">#REF!</definedName>
    <definedName name="תאריך" localSheetId="6">#REF!</definedName>
    <definedName name="תאריך">#REF!</definedName>
    <definedName name="תאריך_עדכון" localSheetId="7">[3]תבניות!$M$46</definedName>
    <definedName name="תאריך_עדכון" localSheetId="5">[3]תבניות!$M$46</definedName>
    <definedName name="תאריך_עדכון" localSheetId="9">[3]תבניות!$M$46</definedName>
    <definedName name="תאריך_עדכון" localSheetId="16">[3]תבניות!$M$46</definedName>
    <definedName name="תאריך_עדכון" localSheetId="11">[3]תבניות!$M$46</definedName>
    <definedName name="תאריך_עדכון" localSheetId="13">[3]תבניות!$M$46</definedName>
    <definedName name="תאריך_עדכון">[4]תבניות!$M$46</definedName>
  </definedNames>
  <calcPr calcId="181029"/>
</workbook>
</file>

<file path=xl/calcChain.xml><?xml version="1.0" encoding="utf-8"?>
<calcChain xmlns="http://schemas.openxmlformats.org/spreadsheetml/2006/main">
  <c r="C13" i="108" l="1"/>
  <c r="D13" i="108"/>
  <c r="E13" i="108"/>
  <c r="F13" i="108"/>
  <c r="G13" i="108"/>
  <c r="H13" i="108"/>
  <c r="B13" i="108"/>
  <c r="C12" i="108"/>
  <c r="D12" i="108"/>
  <c r="E12" i="108"/>
  <c r="F12" i="108"/>
  <c r="G12" i="108"/>
  <c r="H12" i="108"/>
  <c r="I12" i="108"/>
  <c r="B12" i="108"/>
  <c r="C16" i="107"/>
  <c r="C17" i="108" s="1"/>
  <c r="D16" i="107"/>
  <c r="D17" i="108" s="1"/>
  <c r="E16" i="107"/>
  <c r="E17" i="108" s="1"/>
  <c r="F16" i="107"/>
  <c r="G16" i="107"/>
  <c r="H16" i="107"/>
  <c r="B16" i="107"/>
  <c r="B17" i="108" s="1"/>
  <c r="H19" i="107"/>
  <c r="G19" i="107"/>
  <c r="G20" i="108" s="1"/>
  <c r="F19" i="107"/>
  <c r="F20" i="108" s="1"/>
  <c r="D19" i="107"/>
  <c r="C20" i="108"/>
  <c r="D20" i="108"/>
  <c r="E20" i="108"/>
  <c r="H20" i="108"/>
  <c r="H17" i="107"/>
  <c r="G17" i="107"/>
  <c r="F17" i="107"/>
  <c r="D17" i="107"/>
  <c r="B20" i="108"/>
  <c r="B16" i="108"/>
  <c r="C16" i="108"/>
  <c r="D16" i="108"/>
  <c r="E16" i="108"/>
  <c r="F16" i="108"/>
  <c r="F18" i="108" s="1"/>
  <c r="G16" i="108"/>
  <c r="H16" i="108"/>
  <c r="F17" i="108"/>
  <c r="G17" i="108"/>
  <c r="H17" i="108"/>
  <c r="C15" i="108"/>
  <c r="D15" i="108"/>
  <c r="E15" i="108"/>
  <c r="F15" i="108"/>
  <c r="G15" i="108"/>
  <c r="H15" i="108"/>
  <c r="B15" i="108"/>
  <c r="B8" i="108"/>
  <c r="C8" i="108"/>
  <c r="D8" i="108"/>
  <c r="E8" i="108"/>
  <c r="F8" i="108"/>
  <c r="G8" i="108"/>
  <c r="H8" i="108"/>
  <c r="I8" i="108"/>
  <c r="B9" i="108"/>
  <c r="C9" i="108"/>
  <c r="D9" i="108"/>
  <c r="E9" i="108"/>
  <c r="F9" i="108"/>
  <c r="G9" i="108"/>
  <c r="H9" i="108"/>
  <c r="I9" i="108"/>
  <c r="B10" i="108"/>
  <c r="C10" i="108"/>
  <c r="D10" i="108"/>
  <c r="E10" i="108"/>
  <c r="F10" i="108"/>
  <c r="G10" i="108"/>
  <c r="H10" i="108"/>
  <c r="I10" i="108"/>
  <c r="B11" i="108"/>
  <c r="C11" i="108"/>
  <c r="D11" i="108"/>
  <c r="E11" i="108"/>
  <c r="F11" i="108"/>
  <c r="G11" i="108"/>
  <c r="C7" i="108"/>
  <c r="D7" i="108"/>
  <c r="E7" i="108"/>
  <c r="F7" i="108"/>
  <c r="G7" i="108"/>
  <c r="H7" i="108"/>
  <c r="I7" i="108"/>
  <c r="B7" i="108"/>
  <c r="H5" i="108"/>
  <c r="G5" i="108"/>
  <c r="F5" i="108"/>
  <c r="E5" i="108"/>
  <c r="D5" i="108"/>
  <c r="C5" i="108"/>
  <c r="B5" i="108"/>
  <c r="H8" i="107"/>
  <c r="H7" i="107"/>
  <c r="D25" i="105"/>
  <c r="D25" i="103"/>
  <c r="D25" i="101"/>
  <c r="D25" i="97"/>
  <c r="D25" i="95"/>
  <c r="G11" i="107"/>
  <c r="D14" i="97"/>
  <c r="E11" i="107" s="1"/>
  <c r="G8" i="107"/>
  <c r="G7" i="107"/>
  <c r="F15" i="107"/>
  <c r="F14" i="107"/>
  <c r="F11" i="107"/>
  <c r="F8" i="107"/>
  <c r="F7" i="107"/>
  <c r="E19" i="107"/>
  <c r="E9" i="107"/>
  <c r="E7" i="107"/>
  <c r="E8" i="107"/>
  <c r="D15" i="107"/>
  <c r="D14" i="107"/>
  <c r="D11" i="107"/>
  <c r="D9" i="107"/>
  <c r="D8" i="107"/>
  <c r="D7" i="107"/>
  <c r="D25" i="92"/>
  <c r="C19" i="107"/>
  <c r="C12" i="107"/>
  <c r="C11" i="107"/>
  <c r="C9" i="107"/>
  <c r="C8" i="107"/>
  <c r="C7" i="107"/>
  <c r="D26" i="91"/>
  <c r="B19" i="107"/>
  <c r="B11" i="107"/>
  <c r="B10" i="107"/>
  <c r="I10" i="107" s="1"/>
  <c r="B9" i="107"/>
  <c r="B8" i="107"/>
  <c r="B7" i="107"/>
  <c r="J47" i="91"/>
  <c r="H5" i="107"/>
  <c r="G5" i="107"/>
  <c r="F5" i="107"/>
  <c r="E5" i="107"/>
  <c r="D5" i="107"/>
  <c r="C5" i="107"/>
  <c r="B5" i="107"/>
  <c r="I5" i="108" l="1"/>
  <c r="E18" i="108"/>
  <c r="E22" i="108" s="1"/>
  <c r="E23" i="108" s="1"/>
  <c r="G18" i="108"/>
  <c r="G22" i="108" s="1"/>
  <c r="G23" i="108" s="1"/>
  <c r="D18" i="108"/>
  <c r="C17" i="107"/>
  <c r="C21" i="107" s="1"/>
  <c r="C22" i="107" s="1"/>
  <c r="C18" i="108"/>
  <c r="C22" i="108" s="1"/>
  <c r="C23" i="108" s="1"/>
  <c r="I19" i="107"/>
  <c r="I20" i="108"/>
  <c r="H18" i="108"/>
  <c r="H22" i="108" s="1"/>
  <c r="H23" i="108" s="1"/>
  <c r="F22" i="108"/>
  <c r="F23" i="108" s="1"/>
  <c r="D22" i="108"/>
  <c r="D23" i="108" s="1"/>
  <c r="B18" i="108"/>
  <c r="H12" i="107"/>
  <c r="H21" i="107" s="1"/>
  <c r="H22" i="107" s="1"/>
  <c r="G12" i="107"/>
  <c r="G21" i="107" s="1"/>
  <c r="G22" i="107" s="1"/>
  <c r="F12" i="107"/>
  <c r="F21" i="107" s="1"/>
  <c r="F22" i="107" s="1"/>
  <c r="E17" i="107"/>
  <c r="E12" i="107"/>
  <c r="D12" i="107"/>
  <c r="I7" i="107"/>
  <c r="I16" i="107"/>
  <c r="I17" i="108" s="1"/>
  <c r="I15" i="107"/>
  <c r="I16" i="108" s="1"/>
  <c r="I14" i="107"/>
  <c r="I15" i="108" s="1"/>
  <c r="I11" i="107"/>
  <c r="I11" i="108" s="1"/>
  <c r="I9" i="107"/>
  <c r="I8" i="107"/>
  <c r="B17" i="107"/>
  <c r="I5" i="107"/>
  <c r="B12" i="107"/>
  <c r="D23" i="106"/>
  <c r="G23" i="106"/>
  <c r="G20" i="106"/>
  <c r="G19" i="106"/>
  <c r="G13" i="106"/>
  <c r="G14" i="106"/>
  <c r="G15" i="106"/>
  <c r="D31" i="106"/>
  <c r="D20" i="106"/>
  <c r="D19" i="106"/>
  <c r="I18" i="108" l="1"/>
  <c r="I13" i="108"/>
  <c r="B22" i="108"/>
  <c r="E21" i="107"/>
  <c r="E22" i="107" s="1"/>
  <c r="I17" i="107"/>
  <c r="D21" i="107"/>
  <c r="D22" i="107" s="1"/>
  <c r="I12" i="107"/>
  <c r="B21" i="107"/>
  <c r="B22" i="107" s="1"/>
  <c r="J7" i="106"/>
  <c r="D15" i="106"/>
  <c r="D14" i="106"/>
  <c r="G6" i="104"/>
  <c r="J33" i="105" s="1"/>
  <c r="J56" i="105"/>
  <c r="L48" i="105"/>
  <c r="F12" i="105" s="1"/>
  <c r="K48" i="105"/>
  <c r="E12" i="105" s="1"/>
  <c r="J48" i="105"/>
  <c r="J39" i="105"/>
  <c r="K39" i="105" s="1"/>
  <c r="L39" i="105" s="1"/>
  <c r="D23" i="105"/>
  <c r="E23" i="105" s="1"/>
  <c r="F23" i="105" s="1"/>
  <c r="J16" i="105"/>
  <c r="D9" i="105" s="1"/>
  <c r="E14" i="105"/>
  <c r="F14" i="105" s="1"/>
  <c r="K37" i="105"/>
  <c r="L37" i="105" s="1"/>
  <c r="L8" i="104"/>
  <c r="K8" i="104"/>
  <c r="J8" i="104"/>
  <c r="I8" i="104"/>
  <c r="G8" i="104"/>
  <c r="M6" i="104"/>
  <c r="K3" i="104"/>
  <c r="H3" i="104"/>
  <c r="M7" i="104" s="1"/>
  <c r="F3" i="104"/>
  <c r="K1" i="104"/>
  <c r="I22" i="108" l="1"/>
  <c r="I23" i="108" s="1"/>
  <c r="B23" i="108"/>
  <c r="I21" i="107"/>
  <c r="I22" i="107" s="1"/>
  <c r="D13" i="105"/>
  <c r="D12" i="105"/>
  <c r="J40" i="105"/>
  <c r="G7" i="104"/>
  <c r="J19" i="105" s="1"/>
  <c r="N7" i="104"/>
  <c r="O7" i="104" s="1"/>
  <c r="D11" i="105"/>
  <c r="K27" i="105"/>
  <c r="L27" i="105" s="1"/>
  <c r="K33" i="105"/>
  <c r="K38" i="105"/>
  <c r="L38" i="105" s="1"/>
  <c r="K29" i="105"/>
  <c r="L29" i="105" s="1"/>
  <c r="K6" i="105"/>
  <c r="K51" i="105"/>
  <c r="K36" i="105"/>
  <c r="L36" i="105" s="1"/>
  <c r="E20" i="105"/>
  <c r="F20" i="105" s="1"/>
  <c r="E19" i="105"/>
  <c r="F19" i="105" s="1"/>
  <c r="M8" i="104"/>
  <c r="N8" i="104" s="1"/>
  <c r="O8" i="104" s="1"/>
  <c r="N6" i="104"/>
  <c r="O6" i="104" s="1"/>
  <c r="L10" i="102"/>
  <c r="K10" i="102"/>
  <c r="J10" i="102"/>
  <c r="I10" i="102"/>
  <c r="H10" i="102"/>
  <c r="G10" i="102"/>
  <c r="M6" i="102"/>
  <c r="D6" i="102"/>
  <c r="F7" i="102" s="1"/>
  <c r="N7" i="102" s="1"/>
  <c r="K3" i="102"/>
  <c r="F9" i="102" s="1"/>
  <c r="H3" i="102"/>
  <c r="M8" i="102" s="1"/>
  <c r="F3" i="102"/>
  <c r="B36" i="100"/>
  <c r="G35" i="100"/>
  <c r="C31" i="100"/>
  <c r="H34" i="100" s="1"/>
  <c r="G30" i="100"/>
  <c r="C26" i="100"/>
  <c r="L27" i="100" s="1"/>
  <c r="G25" i="100"/>
  <c r="C21" i="100"/>
  <c r="J23" i="100" s="1"/>
  <c r="G20" i="100"/>
  <c r="J16" i="100"/>
  <c r="C16" i="100"/>
  <c r="I19" i="100" s="1"/>
  <c r="I13" i="100"/>
  <c r="I11" i="100"/>
  <c r="C11" i="100"/>
  <c r="J12" i="100" s="1"/>
  <c r="K6" i="100"/>
  <c r="K26" i="100" s="1"/>
  <c r="G6" i="100"/>
  <c r="F6" i="100"/>
  <c r="F16" i="100" s="1"/>
  <c r="J3" i="100"/>
  <c r="L9" i="100" s="1"/>
  <c r="H3" i="100"/>
  <c r="L8" i="100" s="1"/>
  <c r="F3" i="100"/>
  <c r="G7" i="100" s="1"/>
  <c r="G12" i="100" s="1"/>
  <c r="G37" i="100" s="1"/>
  <c r="J34" i="94"/>
  <c r="J33" i="94"/>
  <c r="J32" i="94"/>
  <c r="J31" i="94"/>
  <c r="J35" i="94" s="1"/>
  <c r="I31" i="94"/>
  <c r="G31" i="94"/>
  <c r="C31" i="94"/>
  <c r="B31" i="94"/>
  <c r="J30" i="94"/>
  <c r="G30" i="94"/>
  <c r="M27" i="94"/>
  <c r="L27" i="94"/>
  <c r="K27" i="94"/>
  <c r="I27" i="94"/>
  <c r="H27" i="94"/>
  <c r="D26" i="94"/>
  <c r="J25" i="94"/>
  <c r="G25" i="94"/>
  <c r="M22" i="94"/>
  <c r="L22" i="94"/>
  <c r="K22" i="94"/>
  <c r="I22" i="94"/>
  <c r="H22" i="94"/>
  <c r="D21" i="94"/>
  <c r="J20" i="94"/>
  <c r="G20" i="94"/>
  <c r="M17" i="94"/>
  <c r="L17" i="94"/>
  <c r="K17" i="94"/>
  <c r="I17" i="94"/>
  <c r="H17" i="94"/>
  <c r="D16" i="94"/>
  <c r="J15" i="94"/>
  <c r="M12" i="94"/>
  <c r="L12" i="94"/>
  <c r="K12" i="94"/>
  <c r="K32" i="94" s="1"/>
  <c r="I12" i="94"/>
  <c r="I32" i="94" s="1"/>
  <c r="H12" i="94"/>
  <c r="D11" i="94"/>
  <c r="M6" i="94"/>
  <c r="M21" i="94" s="1"/>
  <c r="L6" i="94"/>
  <c r="L21" i="94" s="1"/>
  <c r="K6" i="94"/>
  <c r="K26" i="94" s="1"/>
  <c r="J6" i="94"/>
  <c r="I6" i="94"/>
  <c r="H6" i="94"/>
  <c r="H26" i="94" s="1"/>
  <c r="G6" i="94"/>
  <c r="F6" i="94"/>
  <c r="F26" i="94" s="1"/>
  <c r="N3" i="94"/>
  <c r="I9" i="94" s="1"/>
  <c r="L3" i="94"/>
  <c r="K3" i="94"/>
  <c r="H3" i="94"/>
  <c r="J8" i="94" s="1"/>
  <c r="E3" i="94"/>
  <c r="D3" i="94"/>
  <c r="F7" i="94" s="1"/>
  <c r="K40" i="105" l="1"/>
  <c r="E11" i="105" s="1"/>
  <c r="L33" i="105"/>
  <c r="L40" i="105" s="1"/>
  <c r="F11" i="105" s="1"/>
  <c r="K56" i="105"/>
  <c r="E13" i="105" s="1"/>
  <c r="L51" i="105"/>
  <c r="L56" i="105" s="1"/>
  <c r="F13" i="105" s="1"/>
  <c r="J30" i="105"/>
  <c r="K19" i="105"/>
  <c r="L6" i="105"/>
  <c r="L16" i="105" s="1"/>
  <c r="F9" i="105" s="1"/>
  <c r="K16" i="105"/>
  <c r="E9" i="105" s="1"/>
  <c r="L32" i="94"/>
  <c r="J11" i="100"/>
  <c r="J13" i="100"/>
  <c r="H17" i="100"/>
  <c r="D31" i="100"/>
  <c r="J34" i="100"/>
  <c r="K11" i="100"/>
  <c r="H14" i="100"/>
  <c r="I17" i="100"/>
  <c r="I21" i="100"/>
  <c r="D26" i="100"/>
  <c r="H31" i="100"/>
  <c r="G8" i="94"/>
  <c r="G13" i="94" s="1"/>
  <c r="G33" i="94" s="1"/>
  <c r="M6" i="100"/>
  <c r="H12" i="100"/>
  <c r="I14" i="100"/>
  <c r="J17" i="100"/>
  <c r="J21" i="100"/>
  <c r="L26" i="100"/>
  <c r="H32" i="100"/>
  <c r="H35" i="100" s="1"/>
  <c r="J9" i="94"/>
  <c r="J10" i="94" s="1"/>
  <c r="F9" i="100"/>
  <c r="I12" i="100"/>
  <c r="I15" i="100" s="1"/>
  <c r="J14" i="100"/>
  <c r="K17" i="100"/>
  <c r="L21" i="100"/>
  <c r="H28" i="100"/>
  <c r="I32" i="100"/>
  <c r="G9" i="100"/>
  <c r="G14" i="100" s="1"/>
  <c r="G39" i="100" s="1"/>
  <c r="I18" i="100"/>
  <c r="J22" i="100"/>
  <c r="H33" i="100"/>
  <c r="I34" i="100"/>
  <c r="C36" i="100"/>
  <c r="K12" i="100"/>
  <c r="H16" i="100"/>
  <c r="J18" i="100"/>
  <c r="J20" i="100" s="1"/>
  <c r="K22" i="100"/>
  <c r="I29" i="100"/>
  <c r="I33" i="100"/>
  <c r="H11" i="100"/>
  <c r="H13" i="100"/>
  <c r="I16" i="100"/>
  <c r="I20" i="100" s="1"/>
  <c r="J19" i="100"/>
  <c r="J39" i="100" s="1"/>
  <c r="L22" i="100"/>
  <c r="J33" i="100"/>
  <c r="M9" i="102"/>
  <c r="M10" i="102" s="1"/>
  <c r="F8" i="102"/>
  <c r="N8" i="102" s="1"/>
  <c r="N6" i="102"/>
  <c r="L24" i="100"/>
  <c r="L29" i="100"/>
  <c r="L34" i="100"/>
  <c r="L14" i="100"/>
  <c r="L19" i="100"/>
  <c r="L28" i="100"/>
  <c r="L18" i="100"/>
  <c r="L23" i="100"/>
  <c r="L33" i="100"/>
  <c r="L13" i="100"/>
  <c r="L10" i="100"/>
  <c r="F7" i="100"/>
  <c r="J15" i="100"/>
  <c r="K21" i="100"/>
  <c r="H29" i="100"/>
  <c r="F31" i="100"/>
  <c r="K9" i="100"/>
  <c r="L11" i="100"/>
  <c r="L12" i="100"/>
  <c r="K16" i="100"/>
  <c r="L17" i="100"/>
  <c r="H24" i="100"/>
  <c r="F26" i="100"/>
  <c r="H27" i="100"/>
  <c r="I28" i="100"/>
  <c r="J29" i="100"/>
  <c r="I31" i="100"/>
  <c r="J32" i="100"/>
  <c r="F8" i="100"/>
  <c r="D11" i="100"/>
  <c r="L16" i="100"/>
  <c r="F19" i="100"/>
  <c r="D21" i="100"/>
  <c r="H23" i="100"/>
  <c r="I24" i="100"/>
  <c r="I39" i="100" s="1"/>
  <c r="H26" i="100"/>
  <c r="I27" i="100"/>
  <c r="J28" i="100"/>
  <c r="J31" i="100"/>
  <c r="K32" i="100"/>
  <c r="F24" i="100"/>
  <c r="G8" i="100"/>
  <c r="G13" i="100" s="1"/>
  <c r="G38" i="100" s="1"/>
  <c r="F11" i="100"/>
  <c r="F14" i="100"/>
  <c r="H19" i="100"/>
  <c r="H39" i="100" s="1"/>
  <c r="F21" i="100"/>
  <c r="H22" i="100"/>
  <c r="I23" i="100"/>
  <c r="I38" i="100" s="1"/>
  <c r="J24" i="100"/>
  <c r="J25" i="100" s="1"/>
  <c r="I26" i="100"/>
  <c r="J27" i="100"/>
  <c r="J37" i="100" s="1"/>
  <c r="K31" i="100"/>
  <c r="L32" i="100"/>
  <c r="K8" i="100"/>
  <c r="G11" i="100"/>
  <c r="D16" i="100"/>
  <c r="H18" i="100"/>
  <c r="H38" i="100" s="1"/>
  <c r="H21" i="100"/>
  <c r="H25" i="100" s="1"/>
  <c r="I22" i="100"/>
  <c r="J26" i="100"/>
  <c r="K27" i="100"/>
  <c r="L31" i="100"/>
  <c r="H32" i="94"/>
  <c r="H8" i="94"/>
  <c r="H23" i="94" s="1"/>
  <c r="K9" i="94"/>
  <c r="K14" i="94" s="1"/>
  <c r="I8" i="94"/>
  <c r="I18" i="94" s="1"/>
  <c r="L9" i="94"/>
  <c r="L29" i="94" s="1"/>
  <c r="K8" i="94"/>
  <c r="K13" i="94" s="1"/>
  <c r="N9" i="94"/>
  <c r="L8" i="94"/>
  <c r="L28" i="94" s="1"/>
  <c r="M32" i="94"/>
  <c r="M8" i="94"/>
  <c r="M28" i="94" s="1"/>
  <c r="K11" i="94"/>
  <c r="K15" i="94" s="1"/>
  <c r="F9" i="94"/>
  <c r="F24" i="94" s="1"/>
  <c r="L11" i="94"/>
  <c r="G9" i="94"/>
  <c r="G14" i="94" s="1"/>
  <c r="G34" i="94" s="1"/>
  <c r="L16" i="94"/>
  <c r="D31" i="94"/>
  <c r="F22" i="94"/>
  <c r="N22" i="94" s="1"/>
  <c r="F27" i="94"/>
  <c r="N27" i="94" s="1"/>
  <c r="F17" i="94"/>
  <c r="N17" i="94" s="1"/>
  <c r="F12" i="94"/>
  <c r="I24" i="94"/>
  <c r="I14" i="94"/>
  <c r="I19" i="94"/>
  <c r="I29" i="94"/>
  <c r="K24" i="94"/>
  <c r="L26" i="94"/>
  <c r="F8" i="94"/>
  <c r="N8" i="94"/>
  <c r="M9" i="94"/>
  <c r="M10" i="94" s="1"/>
  <c r="M11" i="94"/>
  <c r="M13" i="94"/>
  <c r="M16" i="94"/>
  <c r="F21" i="94"/>
  <c r="L24" i="94"/>
  <c r="M26" i="94"/>
  <c r="G7" i="94"/>
  <c r="G12" i="94" s="1"/>
  <c r="H21" i="94"/>
  <c r="H18" i="94"/>
  <c r="K21" i="94"/>
  <c r="H28" i="94"/>
  <c r="L14" i="94"/>
  <c r="M23" i="94"/>
  <c r="K10" i="94"/>
  <c r="F14" i="94"/>
  <c r="H9" i="94"/>
  <c r="N6" i="94"/>
  <c r="H10" i="94"/>
  <c r="F11" i="94"/>
  <c r="H13" i="94"/>
  <c r="F16" i="94"/>
  <c r="K18" i="94"/>
  <c r="L19" i="94"/>
  <c r="K28" i="94"/>
  <c r="H11" i="94"/>
  <c r="H16" i="94"/>
  <c r="K16" i="94"/>
  <c r="M18" i="94"/>
  <c r="D10" i="105" l="1"/>
  <c r="D26" i="105" s="1"/>
  <c r="D27" i="105" s="1"/>
  <c r="K30" i="105"/>
  <c r="E10" i="105" s="1"/>
  <c r="E15" i="105" s="1"/>
  <c r="E25" i="105" s="1"/>
  <c r="E26" i="105" s="1"/>
  <c r="E27" i="105" s="1"/>
  <c r="L19" i="105"/>
  <c r="L30" i="105" s="1"/>
  <c r="F10" i="105" s="1"/>
  <c r="F15" i="105" s="1"/>
  <c r="F25" i="105" s="1"/>
  <c r="F26" i="105" s="1"/>
  <c r="F27" i="105" s="1"/>
  <c r="F10" i="100"/>
  <c r="K36" i="100"/>
  <c r="F19" i="94"/>
  <c r="F34" i="94" s="1"/>
  <c r="L34" i="94"/>
  <c r="J30" i="100"/>
  <c r="J35" i="100"/>
  <c r="L20" i="100"/>
  <c r="K23" i="94"/>
  <c r="K33" i="94" s="1"/>
  <c r="I25" i="100"/>
  <c r="J38" i="100"/>
  <c r="D36" i="100"/>
  <c r="L25" i="100"/>
  <c r="F34" i="100"/>
  <c r="F39" i="100" s="1"/>
  <c r="F29" i="100"/>
  <c r="K29" i="94"/>
  <c r="K30" i="94" s="1"/>
  <c r="M9" i="100"/>
  <c r="I35" i="100"/>
  <c r="K19" i="94"/>
  <c r="I10" i="94"/>
  <c r="H15" i="100"/>
  <c r="L30" i="100"/>
  <c r="F29" i="94"/>
  <c r="L31" i="94"/>
  <c r="N9" i="102"/>
  <c r="F10" i="102"/>
  <c r="N10" i="102" s="1"/>
  <c r="H20" i="100"/>
  <c r="M26" i="100"/>
  <c r="M31" i="100"/>
  <c r="J36" i="100"/>
  <c r="F33" i="100"/>
  <c r="M8" i="100"/>
  <c r="F18" i="100"/>
  <c r="F13" i="100"/>
  <c r="F23" i="100"/>
  <c r="F28" i="100"/>
  <c r="M16" i="100"/>
  <c r="I37" i="100"/>
  <c r="M21" i="100"/>
  <c r="I30" i="100"/>
  <c r="F36" i="100"/>
  <c r="M11" i="100"/>
  <c r="H30" i="100"/>
  <c r="K37" i="100"/>
  <c r="G10" i="100"/>
  <c r="G15" i="100"/>
  <c r="G36" i="100"/>
  <c r="G40" i="100" s="1"/>
  <c r="L37" i="100"/>
  <c r="F17" i="100"/>
  <c r="F27" i="100"/>
  <c r="M27" i="100" s="1"/>
  <c r="F12" i="100"/>
  <c r="F15" i="100" s="1"/>
  <c r="F32" i="100"/>
  <c r="M32" i="100" s="1"/>
  <c r="F22" i="100"/>
  <c r="M22" i="100" s="1"/>
  <c r="M7" i="100"/>
  <c r="I36" i="100"/>
  <c r="I40" i="100" s="1"/>
  <c r="L35" i="100"/>
  <c r="L36" i="100"/>
  <c r="L15" i="100"/>
  <c r="L38" i="100"/>
  <c r="H36" i="100"/>
  <c r="K23" i="100"/>
  <c r="K28" i="100"/>
  <c r="K13" i="100"/>
  <c r="K33" i="100"/>
  <c r="K10" i="100"/>
  <c r="K18" i="100"/>
  <c r="H37" i="100"/>
  <c r="K24" i="100"/>
  <c r="M24" i="100" s="1"/>
  <c r="K14" i="100"/>
  <c r="M14" i="100" s="1"/>
  <c r="K34" i="100"/>
  <c r="M34" i="100" s="1"/>
  <c r="K19" i="100"/>
  <c r="M19" i="100" s="1"/>
  <c r="K29" i="100"/>
  <c r="M29" i="100" s="1"/>
  <c r="L39" i="100"/>
  <c r="L30" i="94"/>
  <c r="L23" i="94"/>
  <c r="L25" i="94" s="1"/>
  <c r="L13" i="94"/>
  <c r="L18" i="94"/>
  <c r="L20" i="94" s="1"/>
  <c r="I28" i="94"/>
  <c r="I30" i="94" s="1"/>
  <c r="I23" i="94"/>
  <c r="I25" i="94" s="1"/>
  <c r="I13" i="94"/>
  <c r="I15" i="94" s="1"/>
  <c r="H33" i="94"/>
  <c r="L10" i="94"/>
  <c r="K20" i="94"/>
  <c r="K34" i="94"/>
  <c r="N21" i="94"/>
  <c r="I34" i="94"/>
  <c r="N7" i="94"/>
  <c r="N26" i="94"/>
  <c r="N11" i="94"/>
  <c r="F31" i="94"/>
  <c r="I20" i="94"/>
  <c r="F23" i="94"/>
  <c r="N23" i="94" s="1"/>
  <c r="F18" i="94"/>
  <c r="N18" i="94" s="1"/>
  <c r="F13" i="94"/>
  <c r="F15" i="94" s="1"/>
  <c r="F28" i="94"/>
  <c r="F10" i="94"/>
  <c r="N16" i="94"/>
  <c r="H31" i="94"/>
  <c r="H15" i="94"/>
  <c r="G32" i="94"/>
  <c r="G35" i="94" s="1"/>
  <c r="G15" i="94"/>
  <c r="H24" i="94"/>
  <c r="H14" i="94"/>
  <c r="H29" i="94"/>
  <c r="H30" i="94" s="1"/>
  <c r="H19" i="94"/>
  <c r="K25" i="94"/>
  <c r="M15" i="94"/>
  <c r="M31" i="94"/>
  <c r="F32" i="94"/>
  <c r="N12" i="94"/>
  <c r="N32" i="94" s="1"/>
  <c r="L15" i="94"/>
  <c r="M33" i="94"/>
  <c r="G10" i="94"/>
  <c r="N14" i="94"/>
  <c r="K31" i="94"/>
  <c r="M29" i="94"/>
  <c r="M19" i="94"/>
  <c r="M24" i="94"/>
  <c r="M14" i="94"/>
  <c r="D15" i="105" l="1"/>
  <c r="L35" i="94"/>
  <c r="K30" i="100"/>
  <c r="N19" i="94"/>
  <c r="L33" i="94"/>
  <c r="K25" i="100"/>
  <c r="M10" i="100"/>
  <c r="K35" i="94"/>
  <c r="H40" i="100"/>
  <c r="J40" i="100"/>
  <c r="K20" i="100"/>
  <c r="M23" i="100"/>
  <c r="M39" i="100"/>
  <c r="F38" i="100"/>
  <c r="M13" i="100"/>
  <c r="F35" i="100"/>
  <c r="L40" i="100"/>
  <c r="M12" i="100"/>
  <c r="F37" i="100"/>
  <c r="F25" i="100"/>
  <c r="M33" i="100"/>
  <c r="F30" i="100"/>
  <c r="M18" i="100"/>
  <c r="K38" i="100"/>
  <c r="K15" i="100"/>
  <c r="M15" i="100" s="1"/>
  <c r="M17" i="100"/>
  <c r="F20" i="100"/>
  <c r="M20" i="100" s="1"/>
  <c r="K39" i="100"/>
  <c r="K35" i="100"/>
  <c r="M36" i="100"/>
  <c r="M28" i="100"/>
  <c r="I33" i="94"/>
  <c r="I35" i="94" s="1"/>
  <c r="F25" i="94"/>
  <c r="N24" i="94"/>
  <c r="N34" i="94" s="1"/>
  <c r="N10" i="94"/>
  <c r="N29" i="94"/>
  <c r="H20" i="94"/>
  <c r="N28" i="94"/>
  <c r="F30" i="94"/>
  <c r="N30" i="94" s="1"/>
  <c r="N15" i="94"/>
  <c r="F33" i="94"/>
  <c r="F35" i="94" s="1"/>
  <c r="N13" i="94"/>
  <c r="N31" i="94"/>
  <c r="M34" i="94"/>
  <c r="M35" i="94" s="1"/>
  <c r="F20" i="94"/>
  <c r="N20" i="94" s="1"/>
  <c r="H34" i="94"/>
  <c r="H35" i="94" s="1"/>
  <c r="H25" i="94"/>
  <c r="M35" i="100" l="1"/>
  <c r="K40" i="100"/>
  <c r="M30" i="100"/>
  <c r="N25" i="94"/>
  <c r="F40" i="100"/>
  <c r="M37" i="100"/>
  <c r="M38" i="100"/>
  <c r="M25" i="100"/>
  <c r="C4" i="100"/>
  <c r="N33" i="94"/>
  <c r="N35" i="94" s="1"/>
  <c r="M40" i="100" l="1"/>
  <c r="J39" i="97"/>
  <c r="J29" i="97"/>
  <c r="J27" i="97"/>
  <c r="J6" i="97"/>
  <c r="J43" i="97" l="1"/>
  <c r="J46" i="97"/>
  <c r="J33" i="97"/>
  <c r="B41" i="99"/>
  <c r="C36" i="99"/>
  <c r="J37" i="99" s="1"/>
  <c r="J35" i="99"/>
  <c r="C31" i="99"/>
  <c r="I32" i="99" s="1"/>
  <c r="C26" i="99"/>
  <c r="N27" i="99" s="1"/>
  <c r="J25" i="99"/>
  <c r="C21" i="99"/>
  <c r="N22" i="99" s="1"/>
  <c r="J20" i="99"/>
  <c r="C16" i="99"/>
  <c r="N17" i="99" s="1"/>
  <c r="J15" i="99"/>
  <c r="C11" i="99"/>
  <c r="N12" i="99" s="1"/>
  <c r="G34" i="99"/>
  <c r="N31" i="99"/>
  <c r="M31" i="99"/>
  <c r="H38" i="99" l="1"/>
  <c r="G12" i="99"/>
  <c r="H12" i="99"/>
  <c r="G27" i="99"/>
  <c r="G26" i="99"/>
  <c r="H27" i="99"/>
  <c r="L36" i="99"/>
  <c r="K37" i="99"/>
  <c r="G17" i="99"/>
  <c r="N32" i="99"/>
  <c r="L32" i="99"/>
  <c r="H11" i="99"/>
  <c r="H26" i="99"/>
  <c r="H21" i="99"/>
  <c r="F36" i="99"/>
  <c r="G22" i="99"/>
  <c r="D31" i="99"/>
  <c r="M36" i="99"/>
  <c r="D36" i="99"/>
  <c r="K32" i="99"/>
  <c r="G38" i="99"/>
  <c r="H22" i="99"/>
  <c r="F31" i="99"/>
  <c r="H16" i="99"/>
  <c r="M32" i="99"/>
  <c r="G39" i="99"/>
  <c r="H17" i="99"/>
  <c r="M24" i="99"/>
  <c r="M19" i="99"/>
  <c r="M14" i="99"/>
  <c r="M39" i="99"/>
  <c r="M34" i="99"/>
  <c r="M29" i="99"/>
  <c r="N23" i="99"/>
  <c r="N18" i="99"/>
  <c r="N13" i="99"/>
  <c r="N38" i="99"/>
  <c r="N33" i="99"/>
  <c r="N28" i="99"/>
  <c r="F27" i="99"/>
  <c r="F22" i="99"/>
  <c r="F17" i="99"/>
  <c r="F12" i="99"/>
  <c r="F37" i="99"/>
  <c r="F32" i="99"/>
  <c r="I11" i="99"/>
  <c r="G13" i="99"/>
  <c r="I16" i="99"/>
  <c r="G18" i="99"/>
  <c r="I21" i="99"/>
  <c r="G23" i="99"/>
  <c r="I26" i="99"/>
  <c r="N36" i="99"/>
  <c r="L37" i="99"/>
  <c r="K11" i="99"/>
  <c r="I12" i="99"/>
  <c r="H13" i="99"/>
  <c r="G14" i="99"/>
  <c r="K16" i="99"/>
  <c r="I17" i="99"/>
  <c r="H18" i="99"/>
  <c r="G19" i="99"/>
  <c r="K21" i="99"/>
  <c r="I22" i="99"/>
  <c r="H23" i="99"/>
  <c r="G24" i="99"/>
  <c r="K26" i="99"/>
  <c r="I27" i="99"/>
  <c r="G28" i="99"/>
  <c r="G31" i="99"/>
  <c r="G36" i="99"/>
  <c r="M37" i="99"/>
  <c r="L11" i="99"/>
  <c r="K12" i="99"/>
  <c r="L16" i="99"/>
  <c r="K17" i="99"/>
  <c r="L21" i="99"/>
  <c r="K22" i="99"/>
  <c r="L26" i="99"/>
  <c r="J27" i="99"/>
  <c r="H28" i="99"/>
  <c r="H31" i="99"/>
  <c r="G32" i="99"/>
  <c r="H36" i="99"/>
  <c r="N37" i="99"/>
  <c r="M11" i="99"/>
  <c r="L12" i="99"/>
  <c r="M16" i="99"/>
  <c r="L17" i="99"/>
  <c r="M21" i="99"/>
  <c r="L22" i="99"/>
  <c r="M26" i="99"/>
  <c r="K27" i="99"/>
  <c r="G29" i="99"/>
  <c r="I31" i="99"/>
  <c r="H32" i="99"/>
  <c r="G33" i="99"/>
  <c r="I36" i="99"/>
  <c r="G37" i="99"/>
  <c r="C41" i="99"/>
  <c r="D11" i="99"/>
  <c r="N11" i="99"/>
  <c r="M12" i="99"/>
  <c r="D16" i="99"/>
  <c r="N16" i="99"/>
  <c r="M17" i="99"/>
  <c r="D21" i="99"/>
  <c r="N21" i="99"/>
  <c r="M22" i="99"/>
  <c r="D26" i="99"/>
  <c r="N26" i="99"/>
  <c r="L27" i="99"/>
  <c r="K31" i="99"/>
  <c r="H33" i="99"/>
  <c r="J36" i="99"/>
  <c r="H37" i="99"/>
  <c r="F11" i="99"/>
  <c r="F16" i="99"/>
  <c r="F21" i="99"/>
  <c r="F26" i="99"/>
  <c r="M27" i="99"/>
  <c r="L31" i="99"/>
  <c r="K36" i="99"/>
  <c r="I37" i="99"/>
  <c r="G11" i="99"/>
  <c r="G16" i="99"/>
  <c r="G21" i="99"/>
  <c r="N42" i="99" l="1"/>
  <c r="H42" i="99"/>
  <c r="G25" i="99"/>
  <c r="G20" i="99"/>
  <c r="O31" i="99"/>
  <c r="G30" i="99"/>
  <c r="G42" i="99"/>
  <c r="G40" i="99"/>
  <c r="M42" i="99"/>
  <c r="H43" i="99"/>
  <c r="F23" i="99"/>
  <c r="F18" i="99"/>
  <c r="F13" i="99"/>
  <c r="F38" i="99"/>
  <c r="F33" i="99"/>
  <c r="F28" i="99"/>
  <c r="D41" i="99"/>
  <c r="L42" i="99"/>
  <c r="K41" i="99"/>
  <c r="O27" i="99"/>
  <c r="L24" i="99"/>
  <c r="L19" i="99"/>
  <c r="L14" i="99"/>
  <c r="L39" i="99"/>
  <c r="L34" i="99"/>
  <c r="L29" i="99"/>
  <c r="K24" i="99"/>
  <c r="K19" i="99"/>
  <c r="K14" i="99"/>
  <c r="K34" i="99"/>
  <c r="K39" i="99"/>
  <c r="K29" i="99"/>
  <c r="M41" i="99"/>
  <c r="K42" i="99"/>
  <c r="G35" i="99"/>
  <c r="M44" i="99"/>
  <c r="I41" i="99"/>
  <c r="J41" i="99"/>
  <c r="M28" i="99"/>
  <c r="M30" i="99" s="1"/>
  <c r="M23" i="99"/>
  <c r="M25" i="99" s="1"/>
  <c r="M18" i="99"/>
  <c r="M20" i="99" s="1"/>
  <c r="M13" i="99"/>
  <c r="M15" i="99" s="1"/>
  <c r="M38" i="99"/>
  <c r="M40" i="99" s="1"/>
  <c r="M33" i="99"/>
  <c r="M35" i="99" s="1"/>
  <c r="J29" i="99"/>
  <c r="J39" i="99"/>
  <c r="L41" i="99"/>
  <c r="H34" i="99"/>
  <c r="H35" i="99" s="1"/>
  <c r="H29" i="99"/>
  <c r="H24" i="99"/>
  <c r="H19" i="99"/>
  <c r="H20" i="99" s="1"/>
  <c r="H14" i="99"/>
  <c r="H15" i="99" s="1"/>
  <c r="H39" i="99"/>
  <c r="H40" i="99" s="1"/>
  <c r="O32" i="99"/>
  <c r="N39" i="99"/>
  <c r="N40" i="99" s="1"/>
  <c r="N19" i="99"/>
  <c r="N20" i="99" s="1"/>
  <c r="N14" i="99"/>
  <c r="N15" i="99" s="1"/>
  <c r="N34" i="99"/>
  <c r="N35" i="99" s="1"/>
  <c r="N29" i="99"/>
  <c r="N30" i="99" s="1"/>
  <c r="N24" i="99"/>
  <c r="N25" i="99" s="1"/>
  <c r="O17" i="99"/>
  <c r="O22" i="99"/>
  <c r="O26" i="99"/>
  <c r="L28" i="99"/>
  <c r="L23" i="99"/>
  <c r="L18" i="99"/>
  <c r="L13" i="99"/>
  <c r="L33" i="99"/>
  <c r="L38" i="99"/>
  <c r="J42" i="99"/>
  <c r="J28" i="99"/>
  <c r="J38" i="99"/>
  <c r="O37" i="99"/>
  <c r="I33" i="99"/>
  <c r="I38" i="99"/>
  <c r="I28" i="99"/>
  <c r="I23" i="99"/>
  <c r="I18" i="99"/>
  <c r="I13" i="99"/>
  <c r="N41" i="99"/>
  <c r="I42" i="99"/>
  <c r="O21" i="99"/>
  <c r="I34" i="99"/>
  <c r="I29" i="99"/>
  <c r="I24" i="99"/>
  <c r="I25" i="99" s="1"/>
  <c r="I19" i="99"/>
  <c r="I14" i="99"/>
  <c r="I39" i="99"/>
  <c r="H41" i="99"/>
  <c r="N43" i="99"/>
  <c r="F41" i="99"/>
  <c r="O11" i="99"/>
  <c r="G43" i="99"/>
  <c r="G41" i="99"/>
  <c r="G15" i="99"/>
  <c r="O16" i="99"/>
  <c r="F39" i="99"/>
  <c r="F34" i="99"/>
  <c r="F29" i="99"/>
  <c r="F24" i="99"/>
  <c r="F19" i="99"/>
  <c r="F14" i="99"/>
  <c r="F15" i="99" s="1"/>
  <c r="K33" i="99"/>
  <c r="K28" i="99"/>
  <c r="K23" i="99"/>
  <c r="K18" i="99"/>
  <c r="K13" i="99"/>
  <c r="K15" i="99" s="1"/>
  <c r="K38" i="99"/>
  <c r="G44" i="99"/>
  <c r="O12" i="99"/>
  <c r="F42" i="99"/>
  <c r="O36" i="99"/>
  <c r="K40" i="99" l="1"/>
  <c r="L20" i="99"/>
  <c r="K35" i="99"/>
  <c r="L35" i="99"/>
  <c r="L30" i="99"/>
  <c r="K25" i="99"/>
  <c r="I40" i="99"/>
  <c r="L40" i="99"/>
  <c r="G45" i="99"/>
  <c r="O29" i="99"/>
  <c r="O34" i="99"/>
  <c r="J40" i="99"/>
  <c r="K30" i="99"/>
  <c r="J30" i="99"/>
  <c r="O39" i="99"/>
  <c r="J44" i="99"/>
  <c r="I15" i="99"/>
  <c r="I35" i="99"/>
  <c r="L25" i="99"/>
  <c r="F20" i="99"/>
  <c r="O42" i="99"/>
  <c r="I30" i="99"/>
  <c r="M43" i="99"/>
  <c r="M45" i="99" s="1"/>
  <c r="O28" i="99"/>
  <c r="H25" i="99"/>
  <c r="L43" i="99"/>
  <c r="O33" i="99"/>
  <c r="F35" i="99"/>
  <c r="O35" i="99" s="1"/>
  <c r="I20" i="99"/>
  <c r="F40" i="99"/>
  <c r="K20" i="99"/>
  <c r="I43" i="99"/>
  <c r="L15" i="99"/>
  <c r="O38" i="99"/>
  <c r="F30" i="99"/>
  <c r="F44" i="99"/>
  <c r="O14" i="99"/>
  <c r="J43" i="99"/>
  <c r="O13" i="99"/>
  <c r="F43" i="99"/>
  <c r="N44" i="99"/>
  <c r="N45" i="99" s="1"/>
  <c r="O19" i="99"/>
  <c r="H44" i="99"/>
  <c r="H45" i="99" s="1"/>
  <c r="K44" i="99"/>
  <c r="L44" i="99"/>
  <c r="O18" i="99"/>
  <c r="H30" i="99"/>
  <c r="K43" i="99"/>
  <c r="K45" i="99" s="1"/>
  <c r="O24" i="99"/>
  <c r="O41" i="99"/>
  <c r="I44" i="99"/>
  <c r="F25" i="99"/>
  <c r="O23" i="99"/>
  <c r="J45" i="99" l="1"/>
  <c r="O40" i="99"/>
  <c r="O25" i="99"/>
  <c r="O20" i="99"/>
  <c r="O15" i="99"/>
  <c r="I45" i="99"/>
  <c r="L45" i="99"/>
  <c r="O30" i="99"/>
  <c r="F45" i="99"/>
  <c r="O43" i="99"/>
  <c r="O44" i="99"/>
  <c r="O45" i="99" l="1"/>
  <c r="F42" i="92" l="1"/>
  <c r="J46" i="91"/>
  <c r="J45" i="91"/>
  <c r="J44" i="91"/>
  <c r="J43" i="91"/>
  <c r="K8" i="91" l="1"/>
  <c r="L8" i="91" s="1"/>
  <c r="J8" i="106"/>
  <c r="K44" i="91"/>
  <c r="L44" i="91" s="1"/>
  <c r="K45" i="91"/>
  <c r="L45" i="91" s="1"/>
  <c r="K9" i="91"/>
  <c r="L9" i="91" s="1"/>
  <c r="J9" i="106"/>
  <c r="K43" i="91"/>
  <c r="L43" i="91" s="1"/>
  <c r="K46" i="91"/>
  <c r="L46" i="91" s="1"/>
  <c r="J21" i="91"/>
  <c r="E46" i="101" l="1"/>
  <c r="D46" i="101"/>
  <c r="F45" i="101"/>
  <c r="F44" i="101"/>
  <c r="F43" i="101"/>
  <c r="F42" i="101"/>
  <c r="F41" i="101"/>
  <c r="F40" i="101"/>
  <c r="F44" i="97"/>
  <c r="F45" i="97"/>
  <c r="D37" i="97"/>
  <c r="E37" i="97" s="1"/>
  <c r="F37" i="97" s="1"/>
  <c r="D46" i="97"/>
  <c r="F41" i="92"/>
  <c r="F47" i="92" s="1"/>
  <c r="D38" i="92"/>
  <c r="E38" i="92" s="1"/>
  <c r="F38" i="92" s="1"/>
  <c r="E47" i="92"/>
  <c r="D47" i="92"/>
  <c r="G37" i="97" l="1"/>
  <c r="E46" i="97"/>
  <c r="F46" i="97" s="1"/>
  <c r="F46" i="101"/>
  <c r="D6" i="103" l="1"/>
  <c r="J56" i="103"/>
  <c r="L48" i="103"/>
  <c r="F12" i="103" s="1"/>
  <c r="K48" i="103"/>
  <c r="E12" i="103" s="1"/>
  <c r="J48" i="103"/>
  <c r="D23" i="103"/>
  <c r="J16" i="103"/>
  <c r="D9" i="103" s="1"/>
  <c r="J39" i="103"/>
  <c r="K1" i="102"/>
  <c r="D12" i="103" l="1"/>
  <c r="D13" i="103"/>
  <c r="K37" i="103"/>
  <c r="L37" i="103" s="1"/>
  <c r="E19" i="103"/>
  <c r="F19" i="103" s="1"/>
  <c r="E23" i="103"/>
  <c r="F23" i="103" s="1"/>
  <c r="K39" i="103"/>
  <c r="L39" i="103" s="1"/>
  <c r="K27" i="103"/>
  <c r="L27" i="103" s="1"/>
  <c r="K38" i="103"/>
  <c r="L38" i="103" s="1"/>
  <c r="K51" i="103"/>
  <c r="E20" i="103"/>
  <c r="F20" i="103" s="1"/>
  <c r="K28" i="103"/>
  <c r="L28" i="103" s="1"/>
  <c r="K35" i="103"/>
  <c r="L35" i="103" s="1"/>
  <c r="K6" i="103"/>
  <c r="K36" i="103"/>
  <c r="L36" i="103" s="1"/>
  <c r="D14" i="103"/>
  <c r="E14" i="103" s="1"/>
  <c r="F14" i="103" s="1"/>
  <c r="J33" i="103" l="1"/>
  <c r="K56" i="103"/>
  <c r="E13" i="103" s="1"/>
  <c r="L51" i="103"/>
  <c r="L56" i="103" s="1"/>
  <c r="F13" i="103" s="1"/>
  <c r="L6" i="103"/>
  <c r="L16" i="103" s="1"/>
  <c r="F9" i="103" s="1"/>
  <c r="K16" i="103"/>
  <c r="E9" i="103" s="1"/>
  <c r="J40" i="103" l="1"/>
  <c r="K33" i="103"/>
  <c r="J19" i="103" l="1"/>
  <c r="D11" i="103"/>
  <c r="J30" i="103"/>
  <c r="K19" i="103"/>
  <c r="L33" i="103"/>
  <c r="L40" i="103" s="1"/>
  <c r="F11" i="103" s="1"/>
  <c r="K40" i="103"/>
  <c r="E11" i="103" s="1"/>
  <c r="D6" i="101"/>
  <c r="D6" i="106" s="1"/>
  <c r="J56" i="101"/>
  <c r="L48" i="101"/>
  <c r="F12" i="101" s="1"/>
  <c r="K48" i="101"/>
  <c r="E12" i="101" s="1"/>
  <c r="J48" i="101"/>
  <c r="D23" i="101"/>
  <c r="J1" i="100"/>
  <c r="D12" i="101" l="1"/>
  <c r="D13" i="101"/>
  <c r="D10" i="103"/>
  <c r="D15" i="103" s="1"/>
  <c r="E31" i="106"/>
  <c r="F31" i="106" s="1"/>
  <c r="E15" i="106"/>
  <c r="F15" i="106" s="1"/>
  <c r="K9" i="106"/>
  <c r="L9" i="106" s="1"/>
  <c r="K42" i="106"/>
  <c r="K50" i="106"/>
  <c r="K44" i="106"/>
  <c r="L44" i="106" s="1"/>
  <c r="K35" i="106"/>
  <c r="L35" i="106" s="1"/>
  <c r="K19" i="106"/>
  <c r="L19" i="106" s="1"/>
  <c r="K20" i="106"/>
  <c r="L20" i="106" s="1"/>
  <c r="E14" i="106"/>
  <c r="F14" i="106" s="1"/>
  <c r="E23" i="106"/>
  <c r="F23" i="106" s="1"/>
  <c r="K8" i="106"/>
  <c r="L8" i="106" s="1"/>
  <c r="K43" i="106"/>
  <c r="L43" i="106" s="1"/>
  <c r="K34" i="106"/>
  <c r="L34" i="106" s="1"/>
  <c r="E20" i="106"/>
  <c r="F20" i="106" s="1"/>
  <c r="E19" i="106"/>
  <c r="F19" i="106" s="1"/>
  <c r="K45" i="106"/>
  <c r="L45" i="106" s="1"/>
  <c r="K27" i="106"/>
  <c r="L27" i="106" s="1"/>
  <c r="K37" i="101"/>
  <c r="L37" i="101" s="1"/>
  <c r="D37" i="101"/>
  <c r="E37" i="101" s="1"/>
  <c r="F37" i="101" s="1"/>
  <c r="J39" i="101"/>
  <c r="K39" i="101" s="1"/>
  <c r="L39" i="101" s="1"/>
  <c r="D26" i="103"/>
  <c r="D27" i="103" s="1"/>
  <c r="K30" i="103"/>
  <c r="E10" i="103" s="1"/>
  <c r="E15" i="103" s="1"/>
  <c r="E25" i="103" s="1"/>
  <c r="E26" i="103" s="1"/>
  <c r="E27" i="103" s="1"/>
  <c r="L19" i="103"/>
  <c r="L30" i="103" s="1"/>
  <c r="F10" i="103" s="1"/>
  <c r="F15" i="103" s="1"/>
  <c r="F25" i="103" s="1"/>
  <c r="F26" i="103" s="1"/>
  <c r="F27" i="103" s="1"/>
  <c r="K29" i="101"/>
  <c r="L29" i="101" s="1"/>
  <c r="E23" i="101"/>
  <c r="F23" i="101" s="1"/>
  <c r="K51" i="101"/>
  <c r="K56" i="101" s="1"/>
  <c r="E13" i="101" s="1"/>
  <c r="K38" i="101"/>
  <c r="L38" i="101" s="1"/>
  <c r="K27" i="101"/>
  <c r="L27" i="101" s="1"/>
  <c r="E19" i="101"/>
  <c r="F19" i="101" s="1"/>
  <c r="K35" i="101"/>
  <c r="L35" i="101" s="1"/>
  <c r="K36" i="101"/>
  <c r="L36" i="101" s="1"/>
  <c r="K6" i="101"/>
  <c r="L6" i="101" s="1"/>
  <c r="L16" i="101" s="1"/>
  <c r="F9" i="101" s="1"/>
  <c r="E20" i="101"/>
  <c r="F20" i="101" s="1"/>
  <c r="J16" i="101"/>
  <c r="D9" i="101" s="1"/>
  <c r="J33" i="101"/>
  <c r="J40" i="101" s="1"/>
  <c r="D14" i="101"/>
  <c r="E14" i="101" s="1"/>
  <c r="F14" i="101" s="1"/>
  <c r="L42" i="106" l="1"/>
  <c r="L50" i="106"/>
  <c r="D11" i="101"/>
  <c r="K33" i="101"/>
  <c r="L33" i="101" s="1"/>
  <c r="L40" i="101" s="1"/>
  <c r="F11" i="101" s="1"/>
  <c r="K16" i="101"/>
  <c r="E9" i="101" s="1"/>
  <c r="L51" i="101"/>
  <c r="L56" i="101" s="1"/>
  <c r="F13" i="101" s="1"/>
  <c r="J19" i="101"/>
  <c r="K40" i="101" l="1"/>
  <c r="E11" i="101" s="1"/>
  <c r="J30" i="101" l="1"/>
  <c r="K19" i="101"/>
  <c r="D10" i="101" l="1"/>
  <c r="D15" i="101" s="1"/>
  <c r="K30" i="101"/>
  <c r="E10" i="101" s="1"/>
  <c r="E15" i="101" s="1"/>
  <c r="E25" i="101" s="1"/>
  <c r="E26" i="101" s="1"/>
  <c r="E27" i="101" s="1"/>
  <c r="L19" i="101"/>
  <c r="L30" i="101" s="1"/>
  <c r="F10" i="101" s="1"/>
  <c r="F15" i="101" s="1"/>
  <c r="F25" i="101" s="1"/>
  <c r="F26" i="101" s="1"/>
  <c r="F27" i="101" s="1"/>
  <c r="D26" i="101"/>
  <c r="D27" i="101" s="1"/>
  <c r="L1" i="99" l="1"/>
  <c r="E41" i="91" l="1"/>
  <c r="D41" i="91"/>
  <c r="F36" i="91"/>
  <c r="F37" i="91"/>
  <c r="F38" i="91"/>
  <c r="F39" i="91"/>
  <c r="F40" i="91"/>
  <c r="F35" i="91"/>
  <c r="D32" i="91"/>
  <c r="E32" i="91" s="1"/>
  <c r="F32" i="91" s="1"/>
  <c r="G32" i="91" s="1"/>
  <c r="N73" i="98"/>
  <c r="J73" i="98"/>
  <c r="H73" i="98"/>
  <c r="G73" i="98"/>
  <c r="N72" i="98"/>
  <c r="M72" i="98"/>
  <c r="L72" i="98"/>
  <c r="L9" i="98" s="1"/>
  <c r="J72" i="98"/>
  <c r="H72" i="98"/>
  <c r="G72" i="98"/>
  <c r="N71" i="98"/>
  <c r="M71" i="98"/>
  <c r="L71" i="98"/>
  <c r="J71" i="98"/>
  <c r="H71" i="98"/>
  <c r="G71" i="98"/>
  <c r="N70" i="98"/>
  <c r="M70" i="98"/>
  <c r="L70" i="98"/>
  <c r="K70" i="98"/>
  <c r="J70" i="98"/>
  <c r="J7" i="98" s="1"/>
  <c r="H70" i="98"/>
  <c r="G70" i="98"/>
  <c r="F70" i="98"/>
  <c r="N69" i="98"/>
  <c r="K69" i="98"/>
  <c r="J69" i="98"/>
  <c r="I69" i="98"/>
  <c r="H69" i="98"/>
  <c r="H6" i="98" s="1"/>
  <c r="G69" i="98"/>
  <c r="F69" i="98"/>
  <c r="F6" i="98" s="1"/>
  <c r="B69" i="98"/>
  <c r="C59" i="98" s="1"/>
  <c r="M64" i="98"/>
  <c r="M68" i="98" s="1"/>
  <c r="L64" i="98"/>
  <c r="L68" i="98" s="1"/>
  <c r="C64" i="98"/>
  <c r="M59" i="98"/>
  <c r="M63" i="98" s="1"/>
  <c r="L59" i="98"/>
  <c r="L63" i="98" s="1"/>
  <c r="M54" i="98"/>
  <c r="L54" i="98"/>
  <c r="C54" i="98"/>
  <c r="M49" i="98"/>
  <c r="M53" i="98" s="1"/>
  <c r="L49" i="98"/>
  <c r="C49" i="98"/>
  <c r="P48" i="98"/>
  <c r="Q48" i="98" s="1"/>
  <c r="O48" i="98"/>
  <c r="D48" i="98"/>
  <c r="N46" i="98"/>
  <c r="M46" i="98"/>
  <c r="M9" i="98" s="1"/>
  <c r="L46" i="98"/>
  <c r="N45" i="98"/>
  <c r="M45" i="98"/>
  <c r="M8" i="98" s="1"/>
  <c r="L45" i="98"/>
  <c r="L8" i="98" s="1"/>
  <c r="N44" i="98"/>
  <c r="M44" i="98"/>
  <c r="L44" i="98"/>
  <c r="J44" i="98"/>
  <c r="F44" i="98"/>
  <c r="J43" i="98"/>
  <c r="J6" i="98" s="1"/>
  <c r="H43" i="98"/>
  <c r="G43" i="98"/>
  <c r="G6" i="98" s="1"/>
  <c r="F43" i="98"/>
  <c r="B43" i="98"/>
  <c r="C38" i="98" s="1"/>
  <c r="M38" i="98"/>
  <c r="M42" i="98" s="1"/>
  <c r="L38" i="98"/>
  <c r="D38" i="98"/>
  <c r="M33" i="98"/>
  <c r="M37" i="98" s="1"/>
  <c r="L33" i="98"/>
  <c r="L37" i="98" s="1"/>
  <c r="D33" i="98"/>
  <c r="M28" i="98"/>
  <c r="L28" i="98"/>
  <c r="L32" i="98" s="1"/>
  <c r="D28" i="98"/>
  <c r="M23" i="98"/>
  <c r="L23" i="98"/>
  <c r="L27" i="98" s="1"/>
  <c r="D23" i="98"/>
  <c r="M18" i="98"/>
  <c r="M22" i="98" s="1"/>
  <c r="L18" i="98"/>
  <c r="L22" i="98" s="1"/>
  <c r="D18" i="98"/>
  <c r="N13" i="98"/>
  <c r="M13" i="98"/>
  <c r="M17" i="98" s="1"/>
  <c r="L13" i="98"/>
  <c r="D13" i="98"/>
  <c r="O12" i="98"/>
  <c r="P12" i="98" s="1"/>
  <c r="Q12" i="98" s="1"/>
  <c r="D12" i="98"/>
  <c r="P11" i="98"/>
  <c r="Q11" i="98" s="1"/>
  <c r="N8" i="98"/>
  <c r="N7" i="98"/>
  <c r="K7" i="98"/>
  <c r="F7" i="98"/>
  <c r="K6" i="98"/>
  <c r="I6" i="98"/>
  <c r="D6" i="98"/>
  <c r="L3" i="98"/>
  <c r="F36" i="98" s="1"/>
  <c r="I3" i="98"/>
  <c r="J25" i="98" s="1"/>
  <c r="F3" i="98"/>
  <c r="E3" i="98"/>
  <c r="L1" i="98"/>
  <c r="C13" i="98" l="1"/>
  <c r="C23" i="98"/>
  <c r="C33" i="98"/>
  <c r="L7" i="98"/>
  <c r="C28" i="98"/>
  <c r="G29" i="98" s="1"/>
  <c r="N9" i="98"/>
  <c r="F41" i="91"/>
  <c r="D64" i="98"/>
  <c r="I65" i="98" s="1"/>
  <c r="O13" i="98"/>
  <c r="M27" i="98"/>
  <c r="M69" i="98"/>
  <c r="O64" i="98"/>
  <c r="P64" i="98" s="1"/>
  <c r="Q64" i="98" s="1"/>
  <c r="D59" i="98"/>
  <c r="I60" i="98" s="1"/>
  <c r="J26" i="98"/>
  <c r="O38" i="98"/>
  <c r="P38" i="98" s="1"/>
  <c r="Q38" i="98" s="1"/>
  <c r="H14" i="98"/>
  <c r="H24" i="98"/>
  <c r="F31" i="98"/>
  <c r="H39" i="98"/>
  <c r="H19" i="98"/>
  <c r="D49" i="98"/>
  <c r="I50" i="98" s="1"/>
  <c r="H29" i="98"/>
  <c r="F16" i="98"/>
  <c r="O23" i="98"/>
  <c r="O59" i="98"/>
  <c r="J41" i="98"/>
  <c r="G24" i="98"/>
  <c r="O33" i="98"/>
  <c r="J16" i="98"/>
  <c r="O28" i="98"/>
  <c r="D43" i="98"/>
  <c r="D54" i="98"/>
  <c r="I55" i="98" s="1"/>
  <c r="O54" i="98"/>
  <c r="L17" i="98"/>
  <c r="J20" i="98"/>
  <c r="J30" i="98"/>
  <c r="M32" i="98"/>
  <c r="F61" i="98"/>
  <c r="I66" i="98"/>
  <c r="H16" i="98"/>
  <c r="K62" i="98"/>
  <c r="G35" i="98"/>
  <c r="G15" i="98"/>
  <c r="N43" i="98"/>
  <c r="N17" i="98"/>
  <c r="H15" i="98"/>
  <c r="J21" i="98"/>
  <c r="H25" i="98"/>
  <c r="H40" i="98"/>
  <c r="L42" i="98"/>
  <c r="L58" i="98"/>
  <c r="M43" i="98"/>
  <c r="G31" i="98"/>
  <c r="I57" i="98"/>
  <c r="G34" i="98"/>
  <c r="G39" i="98"/>
  <c r="J15" i="98"/>
  <c r="L43" i="98"/>
  <c r="M7" i="98"/>
  <c r="K51" i="98"/>
  <c r="K56" i="98"/>
  <c r="I51" i="98"/>
  <c r="G25" i="98"/>
  <c r="F15" i="98"/>
  <c r="K61" i="98"/>
  <c r="I56" i="98"/>
  <c r="J40" i="98"/>
  <c r="F25" i="98"/>
  <c r="F51" i="98"/>
  <c r="K66" i="98"/>
  <c r="I61" i="98"/>
  <c r="F56" i="98"/>
  <c r="F66" i="98"/>
  <c r="F40" i="98"/>
  <c r="F35" i="98"/>
  <c r="H30" i="98"/>
  <c r="F20" i="98"/>
  <c r="G30" i="98"/>
  <c r="F67" i="98"/>
  <c r="H26" i="98"/>
  <c r="G16" i="98"/>
  <c r="K52" i="98"/>
  <c r="G26" i="98"/>
  <c r="K57" i="98"/>
  <c r="I52" i="98"/>
  <c r="K67" i="98"/>
  <c r="I62" i="98"/>
  <c r="F57" i="98"/>
  <c r="G41" i="98"/>
  <c r="J36" i="98"/>
  <c r="J31" i="98"/>
  <c r="G21" i="98"/>
  <c r="I67" i="98"/>
  <c r="F62" i="98"/>
  <c r="F41" i="98"/>
  <c r="G36" i="98"/>
  <c r="H31" i="98"/>
  <c r="F21" i="98"/>
  <c r="H21" i="98"/>
  <c r="J35" i="98"/>
  <c r="P13" i="98"/>
  <c r="Q13" i="98" s="1"/>
  <c r="O18" i="98"/>
  <c r="G20" i="98"/>
  <c r="L69" i="98"/>
  <c r="G40" i="98"/>
  <c r="F52" i="98"/>
  <c r="G14" i="98"/>
  <c r="H20" i="98"/>
  <c r="F26" i="98"/>
  <c r="F30" i="98"/>
  <c r="H41" i="98"/>
  <c r="O55" i="98"/>
  <c r="L53" i="98"/>
  <c r="M58" i="98"/>
  <c r="B74" i="98"/>
  <c r="C6" i="98"/>
  <c r="C18" i="98"/>
  <c r="G19" i="98" s="1"/>
  <c r="O49" i="98"/>
  <c r="J27" i="98" l="1"/>
  <c r="D69" i="98"/>
  <c r="D74" i="98" s="1"/>
  <c r="O29" i="98"/>
  <c r="P29" i="98" s="1"/>
  <c r="Q29" i="98" s="1"/>
  <c r="O60" i="98"/>
  <c r="H44" i="98"/>
  <c r="H7" i="98" s="1"/>
  <c r="O65" i="98"/>
  <c r="P65" i="98" s="1"/>
  <c r="Q65" i="98" s="1"/>
  <c r="H27" i="98"/>
  <c r="O24" i="98"/>
  <c r="I58" i="98"/>
  <c r="K63" i="98"/>
  <c r="H17" i="98"/>
  <c r="O36" i="98"/>
  <c r="O57" i="98"/>
  <c r="P54" i="98"/>
  <c r="Q54" i="98" s="1"/>
  <c r="P28" i="98"/>
  <c r="Q28" i="98" s="1"/>
  <c r="O21" i="98"/>
  <c r="I63" i="98"/>
  <c r="G27" i="98"/>
  <c r="I68" i="98"/>
  <c r="G32" i="98"/>
  <c r="K68" i="98"/>
  <c r="I71" i="98"/>
  <c r="J22" i="98"/>
  <c r="P59" i="98"/>
  <c r="Q59" i="98" s="1"/>
  <c r="P55" i="98"/>
  <c r="Q55" i="98" s="1"/>
  <c r="P18" i="98"/>
  <c r="Q18" i="98" s="1"/>
  <c r="M73" i="98"/>
  <c r="J37" i="98"/>
  <c r="J46" i="98"/>
  <c r="J42" i="98"/>
  <c r="H22" i="98"/>
  <c r="P23" i="98"/>
  <c r="Q23" i="98" s="1"/>
  <c r="L73" i="98"/>
  <c r="H32" i="98"/>
  <c r="H42" i="98"/>
  <c r="F46" i="98"/>
  <c r="P33" i="98"/>
  <c r="Q33" i="98" s="1"/>
  <c r="O16" i="98"/>
  <c r="P60" i="98"/>
  <c r="Q60" i="98" s="1"/>
  <c r="K72" i="98"/>
  <c r="O31" i="98"/>
  <c r="K71" i="98"/>
  <c r="K53" i="98"/>
  <c r="H46" i="98"/>
  <c r="F32" i="98"/>
  <c r="O30" i="98"/>
  <c r="F37" i="98"/>
  <c r="O35" i="98"/>
  <c r="G42" i="98"/>
  <c r="O39" i="98"/>
  <c r="C43" i="98"/>
  <c r="O25" i="98"/>
  <c r="F27" i="98"/>
  <c r="O26" i="98"/>
  <c r="G46" i="98"/>
  <c r="O40" i="98"/>
  <c r="F42" i="98"/>
  <c r="G37" i="98"/>
  <c r="O34" i="98"/>
  <c r="N47" i="98"/>
  <c r="N6" i="98"/>
  <c r="F68" i="98"/>
  <c r="O66" i="98"/>
  <c r="G45" i="98"/>
  <c r="F63" i="98"/>
  <c r="O61" i="98"/>
  <c r="H45" i="98"/>
  <c r="G17" i="98"/>
  <c r="G44" i="98"/>
  <c r="O14" i="98"/>
  <c r="O41" i="98"/>
  <c r="O67" i="98"/>
  <c r="F58" i="98"/>
  <c r="O56" i="98"/>
  <c r="O15" i="98"/>
  <c r="F17" i="98"/>
  <c r="F45" i="98"/>
  <c r="O43" i="98"/>
  <c r="O69" i="98"/>
  <c r="P49" i="98"/>
  <c r="Q49" i="98" s="1"/>
  <c r="O52" i="98"/>
  <c r="F72" i="98"/>
  <c r="O62" i="98"/>
  <c r="I70" i="98"/>
  <c r="I53" i="98"/>
  <c r="O50" i="98"/>
  <c r="J32" i="98"/>
  <c r="J17" i="98"/>
  <c r="J45" i="98"/>
  <c r="G22" i="98"/>
  <c r="O19" i="98"/>
  <c r="I72" i="98"/>
  <c r="M47" i="98"/>
  <c r="M6" i="98"/>
  <c r="O20" i="98"/>
  <c r="F22" i="98"/>
  <c r="F71" i="98"/>
  <c r="F53" i="98"/>
  <c r="O51" i="98"/>
  <c r="K58" i="98"/>
  <c r="L6" i="98"/>
  <c r="L47" i="98"/>
  <c r="P61" i="98" l="1"/>
  <c r="Q61" i="98" s="1"/>
  <c r="O63" i="98"/>
  <c r="O42" i="98"/>
  <c r="K8" i="98"/>
  <c r="P67" i="98"/>
  <c r="Q67" i="98" s="1"/>
  <c r="G8" i="98"/>
  <c r="P40" i="98"/>
  <c r="Q40" i="98" s="1"/>
  <c r="P16" i="98"/>
  <c r="Q16" i="98" s="1"/>
  <c r="I8" i="98"/>
  <c r="P20" i="98"/>
  <c r="Q20" i="98" s="1"/>
  <c r="P69" i="98"/>
  <c r="Q69" i="98" s="1"/>
  <c r="P41" i="98"/>
  <c r="Q41" i="98" s="1"/>
  <c r="P66" i="98"/>
  <c r="G9" i="98"/>
  <c r="P35" i="98"/>
  <c r="Q35" i="98" s="1"/>
  <c r="P62" i="98"/>
  <c r="Q62" i="98" s="1"/>
  <c r="P34" i="98"/>
  <c r="Q34" i="98" s="1"/>
  <c r="P39" i="98"/>
  <c r="Q39" i="98" s="1"/>
  <c r="L10" i="98"/>
  <c r="I73" i="98"/>
  <c r="I10" i="98" s="1"/>
  <c r="F9" i="98"/>
  <c r="P30" i="98"/>
  <c r="Q30" i="98" s="1"/>
  <c r="P21" i="98"/>
  <c r="Q21" i="98" s="1"/>
  <c r="P57" i="98"/>
  <c r="Q57" i="98" s="1"/>
  <c r="P36" i="98"/>
  <c r="Q36" i="98" s="1"/>
  <c r="P56" i="98"/>
  <c r="Q56" i="98" s="1"/>
  <c r="O68" i="98"/>
  <c r="P26" i="98"/>
  <c r="Q26" i="98" s="1"/>
  <c r="P31" i="98"/>
  <c r="Q31" i="98" s="1"/>
  <c r="J9" i="98"/>
  <c r="M10" i="98"/>
  <c r="I9" i="98"/>
  <c r="I7" i="98"/>
  <c r="O17" i="98"/>
  <c r="O27" i="98"/>
  <c r="O32" i="98"/>
  <c r="K9" i="98"/>
  <c r="P19" i="98"/>
  <c r="Q19" i="98" s="1"/>
  <c r="P25" i="98"/>
  <c r="Q25" i="98" s="1"/>
  <c r="P24" i="98"/>
  <c r="Q24" i="98" s="1"/>
  <c r="H9" i="98"/>
  <c r="P15" i="98"/>
  <c r="Q15" i="98" s="1"/>
  <c r="O45" i="98"/>
  <c r="H8" i="98"/>
  <c r="H47" i="98"/>
  <c r="F73" i="98"/>
  <c r="O53" i="98"/>
  <c r="P52" i="98"/>
  <c r="Q52" i="98" s="1"/>
  <c r="O72" i="98"/>
  <c r="K73" i="98"/>
  <c r="J8" i="98"/>
  <c r="J47" i="98"/>
  <c r="Q66" i="98"/>
  <c r="N10" i="98"/>
  <c r="N74" i="98"/>
  <c r="O71" i="98"/>
  <c r="P51" i="98"/>
  <c r="Q51" i="98" s="1"/>
  <c r="O58" i="98"/>
  <c r="O22" i="98"/>
  <c r="O70" i="98"/>
  <c r="P50" i="98"/>
  <c r="Q50" i="98" s="1"/>
  <c r="P43" i="98"/>
  <c r="Q43" i="98" s="1"/>
  <c r="O6" i="98"/>
  <c r="O44" i="98"/>
  <c r="P14" i="98"/>
  <c r="Q14" i="98" s="1"/>
  <c r="O46" i="98"/>
  <c r="F8" i="98"/>
  <c r="F47" i="98"/>
  <c r="G7" i="98"/>
  <c r="G47" i="98"/>
  <c r="L74" i="98"/>
  <c r="O37" i="98"/>
  <c r="M74" i="98"/>
  <c r="P37" i="98" l="1"/>
  <c r="Q37" i="98" s="1"/>
  <c r="P17" i="98"/>
  <c r="Q17" i="98" s="1"/>
  <c r="P6" i="98"/>
  <c r="P71" i="98"/>
  <c r="Q71" i="98" s="1"/>
  <c r="P72" i="98"/>
  <c r="Q72" i="98" s="1"/>
  <c r="P70" i="98"/>
  <c r="Q70" i="98" s="1"/>
  <c r="P27" i="98"/>
  <c r="Q27" i="98" s="1"/>
  <c r="P63" i="98"/>
  <c r="Q63" i="98" s="1"/>
  <c r="P22" i="98"/>
  <c r="Q22" i="98" s="1"/>
  <c r="P58" i="98"/>
  <c r="Q58" i="98" s="1"/>
  <c r="F10" i="98"/>
  <c r="O47" i="98"/>
  <c r="I74" i="98"/>
  <c r="P68" i="98"/>
  <c r="Q68" i="98" s="1"/>
  <c r="P32" i="98"/>
  <c r="Q32" i="98" s="1"/>
  <c r="P42" i="98"/>
  <c r="Q42" i="98" s="1"/>
  <c r="O73" i="98"/>
  <c r="P53" i="98"/>
  <c r="Q53" i="98" s="1"/>
  <c r="F74" i="98"/>
  <c r="H74" i="98"/>
  <c r="H10" i="98"/>
  <c r="P46" i="98"/>
  <c r="Q46" i="98" s="1"/>
  <c r="O9" i="98"/>
  <c r="J10" i="98"/>
  <c r="J74" i="98"/>
  <c r="P45" i="98"/>
  <c r="Q45" i="98" s="1"/>
  <c r="O8" i="98"/>
  <c r="G74" i="98"/>
  <c r="G10" i="98"/>
  <c r="P44" i="98"/>
  <c r="Q44" i="98" s="1"/>
  <c r="O7" i="98"/>
  <c r="K10" i="98"/>
  <c r="K74" i="98"/>
  <c r="P47" i="98" l="1"/>
  <c r="Q47" i="98" s="1"/>
  <c r="P8" i="98"/>
  <c r="Q8" i="98" s="1"/>
  <c r="P73" i="98"/>
  <c r="Q73" i="98" s="1"/>
  <c r="P7" i="98"/>
  <c r="Q7" i="98" s="1"/>
  <c r="P9" i="98"/>
  <c r="Q9" i="98" s="1"/>
  <c r="O10" i="98"/>
  <c r="O74" i="98"/>
  <c r="P74" i="98" l="1"/>
  <c r="Q74" i="98" s="1"/>
  <c r="P10" i="98"/>
  <c r="Q10" i="98" s="1"/>
  <c r="D23" i="97"/>
  <c r="J56" i="97"/>
  <c r="L48" i="97"/>
  <c r="F12" i="97" s="1"/>
  <c r="K48" i="97"/>
  <c r="E12" i="97" s="1"/>
  <c r="K39" i="97"/>
  <c r="L39" i="97" s="1"/>
  <c r="D13" i="97" l="1"/>
  <c r="J40" i="97"/>
  <c r="E19" i="97"/>
  <c r="F19" i="97" s="1"/>
  <c r="K36" i="97"/>
  <c r="L36" i="97" s="1"/>
  <c r="K51" i="97"/>
  <c r="K37" i="97"/>
  <c r="L37" i="97" s="1"/>
  <c r="E23" i="97"/>
  <c r="F23" i="97" s="1"/>
  <c r="E20" i="97"/>
  <c r="F20" i="97" s="1"/>
  <c r="K33" i="97"/>
  <c r="L33" i="97" s="1"/>
  <c r="K29" i="97"/>
  <c r="L29" i="97" s="1"/>
  <c r="K35" i="97"/>
  <c r="L35" i="97" s="1"/>
  <c r="K38" i="97"/>
  <c r="L38" i="97" s="1"/>
  <c r="J19" i="97" l="1"/>
  <c r="D11" i="97"/>
  <c r="E14" i="97"/>
  <c r="F14" i="97" s="1"/>
  <c r="K56" i="97"/>
  <c r="E13" i="97" s="1"/>
  <c r="L51" i="97"/>
  <c r="L56" i="97" s="1"/>
  <c r="F13" i="97" s="1"/>
  <c r="L40" i="97"/>
  <c r="F11" i="97" s="1"/>
  <c r="K40" i="97"/>
  <c r="E11" i="97" s="1"/>
  <c r="K27" i="97"/>
  <c r="L27" i="97" s="1"/>
  <c r="J48" i="97" l="1"/>
  <c r="J30" i="97"/>
  <c r="K19" i="97"/>
  <c r="J16" i="97"/>
  <c r="D9" i="97" s="1"/>
  <c r="K6" i="97"/>
  <c r="D10" i="97" l="1"/>
  <c r="D12" i="97"/>
  <c r="D15" i="97"/>
  <c r="D26" i="97"/>
  <c r="D27" i="97" s="1"/>
  <c r="K30" i="97"/>
  <c r="E10" i="97" s="1"/>
  <c r="L19" i="97"/>
  <c r="L30" i="97" s="1"/>
  <c r="F10" i="97" s="1"/>
  <c r="K16" i="97"/>
  <c r="E9" i="97" s="1"/>
  <c r="L6" i="97"/>
  <c r="L16" i="97" s="1"/>
  <c r="F9" i="97" s="1"/>
  <c r="E19" i="95"/>
  <c r="F19" i="95" s="1"/>
  <c r="E20" i="95"/>
  <c r="F20" i="95" s="1"/>
  <c r="K6" i="95"/>
  <c r="K36" i="95"/>
  <c r="L36" i="95" s="1"/>
  <c r="K37" i="95"/>
  <c r="L37" i="95" s="1"/>
  <c r="J56" i="95"/>
  <c r="K51" i="95"/>
  <c r="K56" i="95" s="1"/>
  <c r="E13" i="95" s="1"/>
  <c r="L48" i="95"/>
  <c r="F12" i="95" s="1"/>
  <c r="K48" i="95"/>
  <c r="E12" i="95" s="1"/>
  <c r="J48" i="95"/>
  <c r="D12" i="95" s="1"/>
  <c r="K39" i="95"/>
  <c r="L39" i="95" s="1"/>
  <c r="K35" i="95"/>
  <c r="L35" i="95" s="1"/>
  <c r="D23" i="95"/>
  <c r="E23" i="95" s="1"/>
  <c r="F23" i="95" s="1"/>
  <c r="J28" i="95"/>
  <c r="K28" i="95" s="1"/>
  <c r="L28" i="95" s="1"/>
  <c r="K1" i="94"/>
  <c r="D13" i="95" l="1"/>
  <c r="F15" i="97"/>
  <c r="F25" i="97" s="1"/>
  <c r="F26" i="97" s="1"/>
  <c r="F27" i="97" s="1"/>
  <c r="E15" i="97"/>
  <c r="E25" i="97" s="1"/>
  <c r="E26" i="97" s="1"/>
  <c r="E27" i="97" s="1"/>
  <c r="L51" i="95"/>
  <c r="L56" i="95" s="1"/>
  <c r="F13" i="95" s="1"/>
  <c r="K16" i="95"/>
  <c r="E9" i="95" s="1"/>
  <c r="L6" i="95"/>
  <c r="L16" i="95" s="1"/>
  <c r="F9" i="95" s="1"/>
  <c r="J16" i="95"/>
  <c r="D9" i="95" s="1"/>
  <c r="D14" i="95"/>
  <c r="E14" i="95" s="1"/>
  <c r="F14" i="95" s="1"/>
  <c r="J33" i="95"/>
  <c r="K33" i="95" s="1"/>
  <c r="L33" i="95" s="1"/>
  <c r="J27" i="95"/>
  <c r="K27" i="95" s="1"/>
  <c r="L27" i="95" s="1"/>
  <c r="J38" i="95" l="1"/>
  <c r="J40" i="95" l="1"/>
  <c r="K38" i="95"/>
  <c r="D11" i="95" l="1"/>
  <c r="L38" i="95"/>
  <c r="L40" i="95" s="1"/>
  <c r="F11" i="95" s="1"/>
  <c r="K40" i="95"/>
  <c r="E11" i="95" s="1"/>
  <c r="J19" i="95"/>
  <c r="K19" i="95" l="1"/>
  <c r="J30" i="95"/>
  <c r="D10" i="95" l="1"/>
  <c r="D15" i="95" s="1"/>
  <c r="D26" i="95"/>
  <c r="D27" i="95" s="1"/>
  <c r="K30" i="95"/>
  <c r="E10" i="95" s="1"/>
  <c r="E15" i="95" s="1"/>
  <c r="E25" i="95" s="1"/>
  <c r="E26" i="95" s="1"/>
  <c r="E27" i="95" s="1"/>
  <c r="L19" i="95"/>
  <c r="L30" i="95" s="1"/>
  <c r="F10" i="95" s="1"/>
  <c r="F15" i="95" s="1"/>
  <c r="F25" i="95" s="1"/>
  <c r="F26" i="95" s="1"/>
  <c r="F27" i="95" s="1"/>
  <c r="L1" i="93" l="1"/>
  <c r="D14" i="91" l="1"/>
  <c r="J39" i="92"/>
  <c r="K39" i="92" s="1"/>
  <c r="L39" i="92" s="1"/>
  <c r="E14" i="91" l="1"/>
  <c r="F14" i="91" s="1"/>
  <c r="J33" i="92" l="1"/>
  <c r="J6" i="92"/>
  <c r="J20" i="92"/>
  <c r="J20" i="91"/>
  <c r="K21" i="91"/>
  <c r="J19" i="92" l="1"/>
  <c r="P48" i="93" l="1"/>
  <c r="P33" i="93"/>
  <c r="P23" i="93"/>
  <c r="P12" i="93"/>
  <c r="P11" i="93"/>
  <c r="P59" i="93" l="1"/>
  <c r="P64" i="93"/>
  <c r="P28" i="93"/>
  <c r="P18" i="93"/>
  <c r="P54" i="93"/>
  <c r="P60" i="93"/>
  <c r="P38" i="93"/>
  <c r="P41" i="93" l="1"/>
  <c r="P67" i="93"/>
  <c r="P21" i="93"/>
  <c r="P62" i="93"/>
  <c r="P35" i="93"/>
  <c r="P25" i="93"/>
  <c r="P65" i="93"/>
  <c r="P24" i="93"/>
  <c r="P29" i="93"/>
  <c r="P55" i="93"/>
  <c r="P31" i="93"/>
  <c r="P57" i="93"/>
  <c r="P49" i="93"/>
  <c r="P69" i="93"/>
  <c r="P13" i="93"/>
  <c r="P40" i="93"/>
  <c r="P39" i="93"/>
  <c r="P58" i="93"/>
  <c r="P56" i="93"/>
  <c r="P20" i="93"/>
  <c r="P19" i="93"/>
  <c r="P37" i="93"/>
  <c r="P34" i="93"/>
  <c r="P36" i="93"/>
  <c r="P26" i="93"/>
  <c r="P66" i="93"/>
  <c r="P30" i="93"/>
  <c r="P61" i="93"/>
  <c r="P42" i="93" l="1"/>
  <c r="P27" i="93"/>
  <c r="P32" i="93"/>
  <c r="J39" i="91"/>
  <c r="K39" i="91" s="1"/>
  <c r="L39" i="91" s="1"/>
  <c r="P72" i="93"/>
  <c r="P52" i="93"/>
  <c r="P22" i="93"/>
  <c r="P71" i="93"/>
  <c r="P51" i="93"/>
  <c r="P63" i="93"/>
  <c r="P16" i="93"/>
  <c r="P14" i="93"/>
  <c r="P17" i="93"/>
  <c r="P68" i="93"/>
  <c r="P43" i="93"/>
  <c r="P6" i="93"/>
  <c r="P15" i="93"/>
  <c r="J33" i="91" l="1"/>
  <c r="K32" i="106" s="1"/>
  <c r="L32" i="106" s="1"/>
  <c r="P53" i="93"/>
  <c r="P45" i="93"/>
  <c r="P8" i="93"/>
  <c r="P50" i="93"/>
  <c r="P70" i="93"/>
  <c r="P44" i="93"/>
  <c r="P46" i="93"/>
  <c r="P9" i="93"/>
  <c r="P73" i="93" l="1"/>
  <c r="P7" i="93"/>
  <c r="P74" i="93"/>
  <c r="P47" i="93"/>
  <c r="P10" i="93" l="1"/>
  <c r="K33" i="92"/>
  <c r="K20" i="92"/>
  <c r="L20" i="92" s="1"/>
  <c r="J56" i="92"/>
  <c r="K51" i="92"/>
  <c r="L51" i="92" s="1"/>
  <c r="L56" i="92" s="1"/>
  <c r="F13" i="92" s="1"/>
  <c r="L48" i="92"/>
  <c r="F12" i="92" s="1"/>
  <c r="K48" i="92"/>
  <c r="E12" i="92" s="1"/>
  <c r="J48" i="92"/>
  <c r="K36" i="92"/>
  <c r="L36" i="92" s="1"/>
  <c r="K35" i="92"/>
  <c r="L35" i="92" s="1"/>
  <c r="K27" i="92"/>
  <c r="L27" i="92" s="1"/>
  <c r="D23" i="92"/>
  <c r="E20" i="92"/>
  <c r="F20" i="92" s="1"/>
  <c r="J30" i="92"/>
  <c r="E19" i="92"/>
  <c r="F19" i="92" s="1"/>
  <c r="J16" i="92"/>
  <c r="D9" i="92" s="1"/>
  <c r="K6" i="92"/>
  <c r="L6" i="92" s="1"/>
  <c r="L16" i="92" s="1"/>
  <c r="F9" i="92" s="1"/>
  <c r="K36" i="91"/>
  <c r="K35" i="91"/>
  <c r="L35" i="91" s="1"/>
  <c r="K33" i="91"/>
  <c r="L33" i="91" s="1"/>
  <c r="K28" i="91"/>
  <c r="L28" i="91" s="1"/>
  <c r="K20" i="91"/>
  <c r="L20" i="91" s="1"/>
  <c r="K51" i="91"/>
  <c r="K56" i="91" s="1"/>
  <c r="E13" i="91" s="1"/>
  <c r="D24" i="91"/>
  <c r="E24" i="91" s="1"/>
  <c r="F24" i="91" s="1"/>
  <c r="E21" i="91"/>
  <c r="F21" i="91" s="1"/>
  <c r="E20" i="91"/>
  <c r="F20" i="91" s="1"/>
  <c r="J56" i="91"/>
  <c r="L21" i="91"/>
  <c r="L48" i="91"/>
  <c r="F12" i="91" s="1"/>
  <c r="K48" i="91"/>
  <c r="E12" i="91" s="1"/>
  <c r="J48" i="91"/>
  <c r="D12" i="91" s="1"/>
  <c r="D13" i="92" l="1"/>
  <c r="J55" i="106"/>
  <c r="D12" i="92"/>
  <c r="J47" i="106"/>
  <c r="D10" i="92"/>
  <c r="J29" i="106"/>
  <c r="L51" i="91"/>
  <c r="L56" i="91" s="1"/>
  <c r="F13" i="91" s="1"/>
  <c r="D13" i="91"/>
  <c r="J6" i="91"/>
  <c r="K40" i="91"/>
  <c r="E11" i="91" s="1"/>
  <c r="K56" i="92"/>
  <c r="E13" i="92" s="1"/>
  <c r="K16" i="92"/>
  <c r="E9" i="92" s="1"/>
  <c r="L33" i="92"/>
  <c r="L40" i="92" s="1"/>
  <c r="F11" i="92" s="1"/>
  <c r="K40" i="92"/>
  <c r="E11" i="92" s="1"/>
  <c r="K19" i="92"/>
  <c r="E23" i="92"/>
  <c r="F23" i="92" s="1"/>
  <c r="J40" i="92"/>
  <c r="J39" i="106" s="1"/>
  <c r="K39" i="106" s="1"/>
  <c r="L39" i="106" s="1"/>
  <c r="L36" i="91"/>
  <c r="L40" i="91" s="1"/>
  <c r="F11" i="91" s="1"/>
  <c r="L30" i="91"/>
  <c r="F10" i="91" s="1"/>
  <c r="K30" i="91"/>
  <c r="E10" i="91" s="1"/>
  <c r="J40" i="91"/>
  <c r="D11" i="91" s="1"/>
  <c r="J30" i="91"/>
  <c r="D12" i="106" l="1"/>
  <c r="G12" i="106" s="1"/>
  <c r="K47" i="106"/>
  <c r="D13" i="106"/>
  <c r="K55" i="106"/>
  <c r="D10" i="106"/>
  <c r="G10" i="106" s="1"/>
  <c r="K29" i="106"/>
  <c r="K6" i="91"/>
  <c r="J6" i="106"/>
  <c r="D11" i="106"/>
  <c r="G11" i="106" s="1"/>
  <c r="K38" i="106"/>
  <c r="J17" i="91"/>
  <c r="D9" i="91" s="1"/>
  <c r="D10" i="91"/>
  <c r="D11" i="92"/>
  <c r="K30" i="92"/>
  <c r="E10" i="92" s="1"/>
  <c r="L19" i="92"/>
  <c r="L30" i="92" s="1"/>
  <c r="F10" i="92" s="1"/>
  <c r="L55" i="106" l="1"/>
  <c r="F13" i="106" s="1"/>
  <c r="E13" i="106"/>
  <c r="E12" i="106"/>
  <c r="L47" i="106"/>
  <c r="F12" i="106" s="1"/>
  <c r="J17" i="106"/>
  <c r="D9" i="106" s="1"/>
  <c r="K6" i="106"/>
  <c r="L29" i="106"/>
  <c r="F10" i="106" s="1"/>
  <c r="E10" i="106"/>
  <c r="E11" i="106"/>
  <c r="L38" i="106"/>
  <c r="F11" i="106" s="1"/>
  <c r="D27" i="91"/>
  <c r="D28" i="91" s="1"/>
  <c r="K17" i="91"/>
  <c r="E9" i="91" s="1"/>
  <c r="L6" i="91"/>
  <c r="L17" i="91" s="1"/>
  <c r="F9" i="91" s="1"/>
  <c r="D26" i="92"/>
  <c r="D27" i="92" s="1"/>
  <c r="D18" i="88"/>
  <c r="D16" i="106" l="1"/>
  <c r="G16" i="106" s="1"/>
  <c r="G9" i="106"/>
  <c r="D25" i="106"/>
  <c r="G25" i="106" s="1"/>
  <c r="L6" i="106"/>
  <c r="L17" i="106" s="1"/>
  <c r="F9" i="106" s="1"/>
  <c r="F16" i="106" s="1"/>
  <c r="F25" i="106" s="1"/>
  <c r="F26" i="106" s="1"/>
  <c r="F27" i="106" s="1"/>
  <c r="K17" i="106"/>
  <c r="E9" i="106" s="1"/>
  <c r="E16" i="106" s="1"/>
  <c r="E25" i="106" s="1"/>
  <c r="E26" i="106" s="1"/>
  <c r="E27" i="106" s="1"/>
  <c r="D48" i="88"/>
  <c r="D23" i="88"/>
  <c r="D28" i="88"/>
  <c r="D33" i="88"/>
  <c r="D38" i="88"/>
  <c r="D13" i="88"/>
  <c r="D12" i="88"/>
  <c r="D6" i="88"/>
  <c r="C4" i="11"/>
  <c r="B4" i="11"/>
  <c r="C3" i="11"/>
  <c r="B3" i="11"/>
  <c r="D43" i="89"/>
  <c r="D26" i="106" l="1"/>
  <c r="D27" i="106"/>
  <c r="G27" i="106" s="1"/>
  <c r="G26" i="106"/>
  <c r="D3" i="11"/>
  <c r="K3" i="88" s="1"/>
  <c r="D4" i="11"/>
  <c r="I3" i="88" s="1"/>
  <c r="G15" i="88" s="1"/>
  <c r="F29" i="83" l="1"/>
  <c r="H77" i="89" l="1"/>
  <c r="H73" i="89"/>
  <c r="G73" i="89"/>
  <c r="B69" i="89"/>
  <c r="C54" i="89" s="1"/>
  <c r="H69" i="89"/>
  <c r="N44" i="89"/>
  <c r="M44" i="89"/>
  <c r="L44" i="89"/>
  <c r="K44" i="89"/>
  <c r="J44" i="89"/>
  <c r="B43" i="89"/>
  <c r="C38" i="89" s="1"/>
  <c r="O12" i="89"/>
  <c r="L1" i="89"/>
  <c r="H73" i="88"/>
  <c r="G73" i="88"/>
  <c r="H69" i="88"/>
  <c r="B69" i="88"/>
  <c r="K70" i="88"/>
  <c r="G70" i="88"/>
  <c r="J69" i="88"/>
  <c r="N70" i="88"/>
  <c r="L70" i="88"/>
  <c r="J70" i="88"/>
  <c r="H70" i="88"/>
  <c r="G69" i="88"/>
  <c r="O48" i="88"/>
  <c r="N44" i="88"/>
  <c r="M44" i="88"/>
  <c r="L44" i="88"/>
  <c r="J44" i="88"/>
  <c r="B43" i="88"/>
  <c r="C33" i="88" s="1"/>
  <c r="F43" i="88"/>
  <c r="O12" i="88"/>
  <c r="L1" i="88"/>
  <c r="C28" i="88" l="1"/>
  <c r="L7" i="88"/>
  <c r="C6" i="88"/>
  <c r="C23" i="88"/>
  <c r="C18" i="89"/>
  <c r="C6" i="89"/>
  <c r="C23" i="89"/>
  <c r="C28" i="89"/>
  <c r="C18" i="88"/>
  <c r="C13" i="89"/>
  <c r="C33" i="89"/>
  <c r="C38" i="88"/>
  <c r="O48" i="89"/>
  <c r="L70" i="89"/>
  <c r="L7" i="89" s="1"/>
  <c r="H70" i="89"/>
  <c r="K70" i="89"/>
  <c r="K7" i="89" s="1"/>
  <c r="G70" i="89"/>
  <c r="G69" i="89"/>
  <c r="J70" i="89"/>
  <c r="J7" i="89" s="1"/>
  <c r="N70" i="89"/>
  <c r="N7" i="89" s="1"/>
  <c r="J69" i="89"/>
  <c r="C13" i="88"/>
  <c r="J7" i="88"/>
  <c r="K7" i="88"/>
  <c r="N7" i="88"/>
  <c r="O34" i="89"/>
  <c r="K43" i="89"/>
  <c r="M70" i="89"/>
  <c r="M7" i="89" s="1"/>
  <c r="B74" i="89"/>
  <c r="C49" i="89"/>
  <c r="C64" i="89"/>
  <c r="F44" i="89"/>
  <c r="F43" i="89"/>
  <c r="J43" i="89"/>
  <c r="H43" i="89"/>
  <c r="F70" i="89"/>
  <c r="C59" i="89"/>
  <c r="G72" i="89"/>
  <c r="K69" i="89"/>
  <c r="G43" i="89"/>
  <c r="O65" i="89"/>
  <c r="I69" i="89"/>
  <c r="I6" i="89" s="1"/>
  <c r="F69" i="89"/>
  <c r="H43" i="88"/>
  <c r="M70" i="88"/>
  <c r="M7" i="88" s="1"/>
  <c r="F44" i="88"/>
  <c r="F70" i="88"/>
  <c r="B74" i="88"/>
  <c r="C49" i="88"/>
  <c r="D49" i="88" s="1"/>
  <c r="C64" i="88"/>
  <c r="C54" i="88"/>
  <c r="D54" i="88" s="1"/>
  <c r="G43" i="88"/>
  <c r="C59" i="88"/>
  <c r="D59" i="88" s="1"/>
  <c r="D43" i="88"/>
  <c r="M71" i="88"/>
  <c r="L45" i="88"/>
  <c r="K69" i="88"/>
  <c r="J43" i="88"/>
  <c r="M45" i="88"/>
  <c r="D64" i="88"/>
  <c r="I69" i="88"/>
  <c r="I6" i="88" s="1"/>
  <c r="F69" i="88"/>
  <c r="F6" i="88" s="1"/>
  <c r="L15" i="85"/>
  <c r="M15" i="85"/>
  <c r="N15" i="85"/>
  <c r="L20" i="85"/>
  <c r="M20" i="85"/>
  <c r="N20" i="85"/>
  <c r="L25" i="85"/>
  <c r="M25" i="85"/>
  <c r="N25" i="85"/>
  <c r="L30" i="85"/>
  <c r="M30" i="85"/>
  <c r="N30" i="85"/>
  <c r="L35" i="85"/>
  <c r="M35" i="85"/>
  <c r="N35" i="85"/>
  <c r="L40" i="85"/>
  <c r="M40" i="85"/>
  <c r="N40" i="85"/>
  <c r="L50" i="85"/>
  <c r="M50" i="85"/>
  <c r="N50" i="85"/>
  <c r="L51" i="85"/>
  <c r="M51" i="85"/>
  <c r="N51" i="85"/>
  <c r="L55" i="85"/>
  <c r="M55" i="85"/>
  <c r="N55" i="85"/>
  <c r="L56" i="85"/>
  <c r="M56" i="85"/>
  <c r="N56" i="85"/>
  <c r="L60" i="85"/>
  <c r="M60" i="85"/>
  <c r="N60" i="85"/>
  <c r="L61" i="85"/>
  <c r="M61" i="85"/>
  <c r="N61" i="85"/>
  <c r="L65" i="85"/>
  <c r="M65" i="85"/>
  <c r="N65" i="85"/>
  <c r="L66" i="85"/>
  <c r="M66" i="85"/>
  <c r="N66" i="85"/>
  <c r="C43" i="89" l="1"/>
  <c r="C43" i="88"/>
  <c r="O24" i="89"/>
  <c r="L46" i="89"/>
  <c r="O14" i="89"/>
  <c r="H72" i="89"/>
  <c r="J72" i="89"/>
  <c r="F7" i="88"/>
  <c r="L46" i="88"/>
  <c r="H71" i="89"/>
  <c r="K45" i="89"/>
  <c r="M46" i="88"/>
  <c r="L72" i="88"/>
  <c r="J71" i="88"/>
  <c r="N45" i="88"/>
  <c r="O39" i="89"/>
  <c r="K46" i="89"/>
  <c r="L72" i="89"/>
  <c r="M72" i="89"/>
  <c r="M46" i="89"/>
  <c r="D69" i="89"/>
  <c r="D74" i="89" s="1"/>
  <c r="N71" i="89"/>
  <c r="G44" i="89"/>
  <c r="G7" i="89" s="1"/>
  <c r="M45" i="89"/>
  <c r="F6" i="89"/>
  <c r="O55" i="89"/>
  <c r="J71" i="89"/>
  <c r="O19" i="89"/>
  <c r="N72" i="89"/>
  <c r="G6" i="89"/>
  <c r="N46" i="89"/>
  <c r="H6" i="89"/>
  <c r="O29" i="89"/>
  <c r="L45" i="89"/>
  <c r="N45" i="89"/>
  <c r="G71" i="89"/>
  <c r="J73" i="89"/>
  <c r="J6" i="89"/>
  <c r="F7" i="89"/>
  <c r="H44" i="89"/>
  <c r="H7" i="89" s="1"/>
  <c r="K6" i="89"/>
  <c r="L71" i="89"/>
  <c r="M71" i="89"/>
  <c r="O60" i="89"/>
  <c r="G6" i="88"/>
  <c r="L71" i="88"/>
  <c r="L8" i="88" s="1"/>
  <c r="G71" i="88"/>
  <c r="N46" i="88"/>
  <c r="K6" i="88"/>
  <c r="J72" i="88"/>
  <c r="H71" i="88"/>
  <c r="J6" i="88"/>
  <c r="N72" i="88"/>
  <c r="M72" i="88"/>
  <c r="N71" i="88"/>
  <c r="D69" i="88"/>
  <c r="D74" i="88" s="1"/>
  <c r="G72" i="88"/>
  <c r="H6" i="88"/>
  <c r="M8" i="88"/>
  <c r="J73" i="88"/>
  <c r="H72" i="88"/>
  <c r="J66" i="85"/>
  <c r="H66" i="85"/>
  <c r="G66" i="85"/>
  <c r="J61" i="85"/>
  <c r="H61" i="85"/>
  <c r="G61" i="85"/>
  <c r="J56" i="85"/>
  <c r="H56" i="85"/>
  <c r="G56" i="85"/>
  <c r="L71" i="85"/>
  <c r="J51" i="85"/>
  <c r="H51" i="85"/>
  <c r="G51" i="85"/>
  <c r="K40" i="85"/>
  <c r="I40" i="85"/>
  <c r="K35" i="85"/>
  <c r="I35" i="85"/>
  <c r="K30" i="85"/>
  <c r="I30" i="85"/>
  <c r="K25" i="85"/>
  <c r="I25" i="85"/>
  <c r="K20" i="85"/>
  <c r="I20" i="85"/>
  <c r="K16" i="85"/>
  <c r="I15" i="85"/>
  <c r="K15" i="85"/>
  <c r="F14" i="85"/>
  <c r="F39" i="85"/>
  <c r="F34" i="85"/>
  <c r="F29" i="85"/>
  <c r="F24" i="85"/>
  <c r="F19" i="85"/>
  <c r="I26" i="85"/>
  <c r="K65" i="85"/>
  <c r="J65" i="85"/>
  <c r="H65" i="85"/>
  <c r="G65" i="85"/>
  <c r="F65" i="85"/>
  <c r="K64" i="85"/>
  <c r="J64" i="85"/>
  <c r="I64" i="85"/>
  <c r="H64" i="85"/>
  <c r="G64" i="85"/>
  <c r="F64" i="85"/>
  <c r="K60" i="85"/>
  <c r="J60" i="85"/>
  <c r="H60" i="85"/>
  <c r="G60" i="85"/>
  <c r="F60" i="85"/>
  <c r="K59" i="85"/>
  <c r="J59" i="85"/>
  <c r="I59" i="85"/>
  <c r="H59" i="85"/>
  <c r="G59" i="85"/>
  <c r="F59" i="85"/>
  <c r="K55" i="85"/>
  <c r="J55" i="85"/>
  <c r="H55" i="85"/>
  <c r="G55" i="85"/>
  <c r="F55" i="85"/>
  <c r="K54" i="85"/>
  <c r="J54" i="85"/>
  <c r="I54" i="85"/>
  <c r="H54" i="85"/>
  <c r="G54" i="85"/>
  <c r="F54" i="85"/>
  <c r="N70" i="85"/>
  <c r="K50" i="85"/>
  <c r="J50" i="85"/>
  <c r="H50" i="85"/>
  <c r="G50" i="85"/>
  <c r="F50" i="85"/>
  <c r="K49" i="85"/>
  <c r="J49" i="85"/>
  <c r="I49" i="85"/>
  <c r="H49" i="85"/>
  <c r="G49" i="85"/>
  <c r="F49" i="85"/>
  <c r="K38" i="85"/>
  <c r="J38" i="85"/>
  <c r="I38" i="85"/>
  <c r="H38" i="85"/>
  <c r="G38" i="85"/>
  <c r="F38" i="85"/>
  <c r="K33" i="85"/>
  <c r="J33" i="85"/>
  <c r="I33" i="85"/>
  <c r="H33" i="85"/>
  <c r="G33" i="85"/>
  <c r="F33" i="85"/>
  <c r="G28" i="85"/>
  <c r="H28" i="85"/>
  <c r="I28" i="85"/>
  <c r="J28" i="85"/>
  <c r="K28" i="85"/>
  <c r="F28" i="85"/>
  <c r="K44" i="85"/>
  <c r="G23" i="85"/>
  <c r="H23" i="85"/>
  <c r="I23" i="85"/>
  <c r="J23" i="85"/>
  <c r="K23" i="85"/>
  <c r="F23" i="85"/>
  <c r="G18" i="85"/>
  <c r="H18" i="85"/>
  <c r="I18" i="85"/>
  <c r="J18" i="85"/>
  <c r="K18" i="85"/>
  <c r="F18" i="85"/>
  <c r="F13" i="85"/>
  <c r="G13" i="85"/>
  <c r="H13" i="85"/>
  <c r="I13" i="85"/>
  <c r="J13" i="85"/>
  <c r="K13" i="85"/>
  <c r="H73" i="85"/>
  <c r="G73" i="85"/>
  <c r="M70" i="85"/>
  <c r="L70" i="85"/>
  <c r="B69" i="85"/>
  <c r="C59" i="85" s="1"/>
  <c r="C64" i="85"/>
  <c r="N48" i="85"/>
  <c r="M48" i="85"/>
  <c r="O48" i="85" s="1"/>
  <c r="P48" i="85" s="1"/>
  <c r="D48" i="85"/>
  <c r="B43" i="85"/>
  <c r="C13" i="85" s="1"/>
  <c r="D28" i="85"/>
  <c r="D23" i="85"/>
  <c r="D18" i="85"/>
  <c r="D13" i="85"/>
  <c r="O12" i="85"/>
  <c r="P12" i="85" s="1"/>
  <c r="D12" i="85"/>
  <c r="P11" i="85"/>
  <c r="D6" i="85"/>
  <c r="L1" i="85"/>
  <c r="C49" i="85" l="1"/>
  <c r="C33" i="85"/>
  <c r="K47" i="89"/>
  <c r="C54" i="85"/>
  <c r="D54" i="85" s="1"/>
  <c r="L9" i="89"/>
  <c r="F43" i="85"/>
  <c r="I69" i="85"/>
  <c r="I6" i="85" s="1"/>
  <c r="J69" i="85"/>
  <c r="H70" i="85"/>
  <c r="G69" i="85"/>
  <c r="J70" i="85"/>
  <c r="H69" i="85"/>
  <c r="F69" i="85"/>
  <c r="N8" i="89"/>
  <c r="F70" i="85"/>
  <c r="K70" i="85"/>
  <c r="K7" i="85" s="1"/>
  <c r="G70" i="85"/>
  <c r="K43" i="85"/>
  <c r="J71" i="85"/>
  <c r="C6" i="85"/>
  <c r="C23" i="85"/>
  <c r="C18" i="85"/>
  <c r="C28" i="85"/>
  <c r="B74" i="85"/>
  <c r="L9" i="88"/>
  <c r="M9" i="88"/>
  <c r="N8" i="88"/>
  <c r="G71" i="85"/>
  <c r="M9" i="89"/>
  <c r="O44" i="89"/>
  <c r="N9" i="89"/>
  <c r="L8" i="89"/>
  <c r="I70" i="89"/>
  <c r="I7" i="89" s="1"/>
  <c r="O50" i="89"/>
  <c r="O70" i="89" s="1"/>
  <c r="M8" i="89"/>
  <c r="N9" i="88"/>
  <c r="I31" i="85"/>
  <c r="I41" i="85"/>
  <c r="I21" i="85"/>
  <c r="I36" i="85"/>
  <c r="J52" i="85"/>
  <c r="J53" i="85" s="1"/>
  <c r="J73" i="85" s="1"/>
  <c r="G57" i="85"/>
  <c r="H62" i="85"/>
  <c r="N16" i="85"/>
  <c r="L21" i="85"/>
  <c r="N26" i="85"/>
  <c r="L31" i="85"/>
  <c r="N36" i="85"/>
  <c r="L41" i="85"/>
  <c r="N57" i="85"/>
  <c r="M62" i="85"/>
  <c r="L67" i="85"/>
  <c r="M21" i="85"/>
  <c r="M31" i="85"/>
  <c r="M41" i="85"/>
  <c r="L52" i="85"/>
  <c r="N62" i="85"/>
  <c r="M67" i="85"/>
  <c r="L16" i="85"/>
  <c r="N21" i="85"/>
  <c r="L26" i="85"/>
  <c r="N31" i="85"/>
  <c r="L36" i="85"/>
  <c r="N41" i="85"/>
  <c r="M52" i="85"/>
  <c r="L57" i="85"/>
  <c r="N67" i="85"/>
  <c r="M16" i="85"/>
  <c r="M26" i="85"/>
  <c r="M36" i="85"/>
  <c r="N52" i="85"/>
  <c r="M57" i="85"/>
  <c r="L62" i="85"/>
  <c r="I16" i="85"/>
  <c r="K21" i="85"/>
  <c r="K26" i="85"/>
  <c r="K31" i="85"/>
  <c r="K36" i="85"/>
  <c r="K41" i="85"/>
  <c r="H57" i="85"/>
  <c r="J62" i="85"/>
  <c r="G67" i="85"/>
  <c r="G52" i="85"/>
  <c r="J57" i="85"/>
  <c r="H67" i="85"/>
  <c r="H52" i="85"/>
  <c r="G62" i="85"/>
  <c r="J67" i="85"/>
  <c r="H71" i="85"/>
  <c r="N71" i="85"/>
  <c r="M71" i="85"/>
  <c r="N45" i="85"/>
  <c r="K69" i="85"/>
  <c r="G43" i="85"/>
  <c r="M45" i="85"/>
  <c r="H43" i="85"/>
  <c r="J43" i="85"/>
  <c r="L44" i="85"/>
  <c r="L7" i="85" s="1"/>
  <c r="F44" i="85"/>
  <c r="N44" i="85"/>
  <c r="N7" i="85" s="1"/>
  <c r="J44" i="85"/>
  <c r="L45" i="85"/>
  <c r="L8" i="85" s="1"/>
  <c r="M44" i="85"/>
  <c r="M7" i="85" s="1"/>
  <c r="K45" i="85"/>
  <c r="D64" i="85"/>
  <c r="D59" i="85"/>
  <c r="D49" i="85"/>
  <c r="C38" i="85"/>
  <c r="K67" i="88"/>
  <c r="K66" i="88"/>
  <c r="K62" i="88"/>
  <c r="K61" i="88"/>
  <c r="K57" i="88"/>
  <c r="K56" i="88"/>
  <c r="K51" i="88"/>
  <c r="K52" i="88"/>
  <c r="C43" i="85" l="1"/>
  <c r="F7" i="85"/>
  <c r="F6" i="85"/>
  <c r="K6" i="85"/>
  <c r="J6" i="85"/>
  <c r="H6" i="85"/>
  <c r="J7" i="85"/>
  <c r="G6" i="85"/>
  <c r="I57" i="88"/>
  <c r="G20" i="85"/>
  <c r="I62" i="85"/>
  <c r="F15" i="88"/>
  <c r="F57" i="85"/>
  <c r="F57" i="88"/>
  <c r="J40" i="88"/>
  <c r="M18" i="85"/>
  <c r="M22" i="85" s="1"/>
  <c r="M38" i="85"/>
  <c r="M42" i="85" s="1"/>
  <c r="G20" i="88"/>
  <c r="J16" i="88"/>
  <c r="F31" i="85"/>
  <c r="F31" i="88"/>
  <c r="F41" i="85"/>
  <c r="F41" i="88"/>
  <c r="F56" i="88"/>
  <c r="F67" i="85"/>
  <c r="F67" i="88"/>
  <c r="J21" i="85"/>
  <c r="J21" i="88"/>
  <c r="J36" i="85"/>
  <c r="J36" i="88"/>
  <c r="K51" i="85"/>
  <c r="K62" i="85"/>
  <c r="L13" i="85"/>
  <c r="L17" i="85" s="1"/>
  <c r="L13" i="88"/>
  <c r="N18" i="85"/>
  <c r="N22" i="85" s="1"/>
  <c r="M23" i="85"/>
  <c r="L33" i="85"/>
  <c r="L37" i="85" s="1"/>
  <c r="L33" i="88"/>
  <c r="N38" i="85"/>
  <c r="N42" i="85" s="1"/>
  <c r="M49" i="85"/>
  <c r="M53" i="85" s="1"/>
  <c r="M49" i="88"/>
  <c r="L59" i="85"/>
  <c r="L63" i="85" s="1"/>
  <c r="L59" i="88"/>
  <c r="N64" i="85"/>
  <c r="N68" i="85" s="1"/>
  <c r="F21" i="85"/>
  <c r="F21" i="88"/>
  <c r="J30" i="88"/>
  <c r="L28" i="88"/>
  <c r="L54" i="88"/>
  <c r="M64" i="85"/>
  <c r="M68" i="85" s="1"/>
  <c r="G21" i="85"/>
  <c r="G21" i="88"/>
  <c r="J26" i="85"/>
  <c r="J26" i="88"/>
  <c r="J41" i="85"/>
  <c r="J41" i="88"/>
  <c r="K67" i="85"/>
  <c r="M13" i="85"/>
  <c r="M17" i="85" s="1"/>
  <c r="M13" i="88"/>
  <c r="L23" i="85"/>
  <c r="L27" i="85" s="1"/>
  <c r="L23" i="88"/>
  <c r="N28" i="85"/>
  <c r="N32" i="85" s="1"/>
  <c r="M33" i="85"/>
  <c r="M37" i="85" s="1"/>
  <c r="L49" i="85"/>
  <c r="L53" i="85" s="1"/>
  <c r="L49" i="88"/>
  <c r="N54" i="85"/>
  <c r="N58" i="85" s="1"/>
  <c r="M59" i="85"/>
  <c r="M63" i="85" s="1"/>
  <c r="F25" i="88"/>
  <c r="F35" i="88"/>
  <c r="F51" i="88"/>
  <c r="J25" i="88"/>
  <c r="N13" i="85"/>
  <c r="N17" i="85" s="1"/>
  <c r="N13" i="88"/>
  <c r="N33" i="85"/>
  <c r="N37" i="85" s="1"/>
  <c r="N59" i="85"/>
  <c r="N63" i="85" s="1"/>
  <c r="J31" i="85"/>
  <c r="J31" i="88"/>
  <c r="F16" i="85"/>
  <c r="F16" i="88"/>
  <c r="F36" i="85"/>
  <c r="F36" i="88"/>
  <c r="F62" i="85"/>
  <c r="F62" i="88"/>
  <c r="F52" i="85"/>
  <c r="F52" i="88"/>
  <c r="J15" i="85"/>
  <c r="J15" i="88"/>
  <c r="F40" i="88"/>
  <c r="F61" i="85"/>
  <c r="F63" i="85" s="1"/>
  <c r="F61" i="88"/>
  <c r="F66" i="88"/>
  <c r="G25" i="88"/>
  <c r="J20" i="88"/>
  <c r="J35" i="88"/>
  <c r="K52" i="85"/>
  <c r="K72" i="88"/>
  <c r="K9" i="88" s="1"/>
  <c r="L18" i="85"/>
  <c r="L22" i="85" s="1"/>
  <c r="L18" i="88"/>
  <c r="N23" i="85"/>
  <c r="N27" i="85" s="1"/>
  <c r="M28" i="85"/>
  <c r="M32" i="85" s="1"/>
  <c r="L38" i="85"/>
  <c r="L42" i="85" s="1"/>
  <c r="L38" i="88"/>
  <c r="N49" i="85"/>
  <c r="N53" i="85" s="1"/>
  <c r="M54" i="85"/>
  <c r="M58" i="85" s="1"/>
  <c r="L64" i="85"/>
  <c r="L68" i="85" s="1"/>
  <c r="L64" i="88"/>
  <c r="F26" i="85"/>
  <c r="F26" i="88"/>
  <c r="O7" i="89"/>
  <c r="H72" i="85"/>
  <c r="M46" i="85"/>
  <c r="M27" i="85"/>
  <c r="K46" i="85"/>
  <c r="K47" i="85" s="1"/>
  <c r="N72" i="85"/>
  <c r="L46" i="85"/>
  <c r="J72" i="85"/>
  <c r="M72" i="85"/>
  <c r="L72" i="85"/>
  <c r="N46" i="85"/>
  <c r="G72" i="85"/>
  <c r="F15" i="85"/>
  <c r="F30" i="85"/>
  <c r="F40" i="85"/>
  <c r="F42" i="85" s="1"/>
  <c r="F66" i="85"/>
  <c r="J20" i="85"/>
  <c r="J22" i="85" s="1"/>
  <c r="J35" i="85"/>
  <c r="J37" i="85" s="1"/>
  <c r="K61" i="85"/>
  <c r="K63" i="85" s="1"/>
  <c r="F35" i="85"/>
  <c r="F37" i="85" s="1"/>
  <c r="F51" i="85"/>
  <c r="J25" i="85"/>
  <c r="J27" i="85" s="1"/>
  <c r="J40" i="85"/>
  <c r="K56" i="85"/>
  <c r="K66" i="85"/>
  <c r="K68" i="85" s="1"/>
  <c r="L28" i="85"/>
  <c r="L32" i="85" s="1"/>
  <c r="L54" i="85"/>
  <c r="L58" i="85" s="1"/>
  <c r="J16" i="85"/>
  <c r="K57" i="85"/>
  <c r="F25" i="85"/>
  <c r="F20" i="85"/>
  <c r="F56" i="85"/>
  <c r="J30" i="85"/>
  <c r="J32" i="85" s="1"/>
  <c r="M8" i="85"/>
  <c r="N8" i="85"/>
  <c r="O55" i="85"/>
  <c r="O29" i="85"/>
  <c r="O60" i="85"/>
  <c r="O24" i="85"/>
  <c r="O14" i="85"/>
  <c r="O65" i="85"/>
  <c r="O19" i="85"/>
  <c r="O34" i="85"/>
  <c r="D69" i="85"/>
  <c r="G25" i="85"/>
  <c r="I57" i="85" l="1"/>
  <c r="K53" i="85"/>
  <c r="J42" i="88"/>
  <c r="I66" i="85"/>
  <c r="O66" i="85" s="1"/>
  <c r="G40" i="85"/>
  <c r="G36" i="88"/>
  <c r="G36" i="85"/>
  <c r="N17" i="88"/>
  <c r="M17" i="88"/>
  <c r="M23" i="88"/>
  <c r="O23" i="88" s="1"/>
  <c r="L17" i="88"/>
  <c r="F58" i="85"/>
  <c r="O49" i="85"/>
  <c r="P49" i="85" s="1"/>
  <c r="M54" i="88"/>
  <c r="O54" i="88" s="1"/>
  <c r="M28" i="88"/>
  <c r="L22" i="88"/>
  <c r="M33" i="88"/>
  <c r="O62" i="85"/>
  <c r="I56" i="85"/>
  <c r="M43" i="85"/>
  <c r="M47" i="85" s="1"/>
  <c r="M9" i="85"/>
  <c r="F20" i="88"/>
  <c r="F22" i="88" s="1"/>
  <c r="L27" i="88"/>
  <c r="M64" i="88"/>
  <c r="M18" i="88"/>
  <c r="L69" i="85"/>
  <c r="J42" i="85"/>
  <c r="F32" i="85"/>
  <c r="F30" i="88"/>
  <c r="F32" i="88" s="1"/>
  <c r="M59" i="88"/>
  <c r="O59" i="88" s="1"/>
  <c r="M38" i="88"/>
  <c r="O38" i="88" s="1"/>
  <c r="I62" i="88"/>
  <c r="G35" i="85"/>
  <c r="G37" i="85" s="1"/>
  <c r="J32" i="88"/>
  <c r="F27" i="85"/>
  <c r="J17" i="85"/>
  <c r="F46" i="85"/>
  <c r="K72" i="85"/>
  <c r="K9" i="85" s="1"/>
  <c r="K71" i="85"/>
  <c r="K8" i="85" s="1"/>
  <c r="K58" i="85"/>
  <c r="J22" i="88"/>
  <c r="J27" i="88"/>
  <c r="J37" i="88"/>
  <c r="K63" i="88"/>
  <c r="F63" i="88"/>
  <c r="O13" i="85"/>
  <c r="F72" i="85"/>
  <c r="I61" i="85"/>
  <c r="O61" i="85" s="1"/>
  <c r="O54" i="85"/>
  <c r="P54" i="85" s="1"/>
  <c r="F71" i="85"/>
  <c r="L42" i="88"/>
  <c r="O18" i="89"/>
  <c r="J17" i="88"/>
  <c r="J45" i="88"/>
  <c r="F46" i="88"/>
  <c r="N43" i="88"/>
  <c r="F37" i="88"/>
  <c r="N69" i="89"/>
  <c r="N73" i="89"/>
  <c r="O23" i="89"/>
  <c r="O54" i="89"/>
  <c r="K58" i="88"/>
  <c r="M69" i="89"/>
  <c r="O13" i="89"/>
  <c r="L43" i="89"/>
  <c r="F58" i="88"/>
  <c r="J46" i="88"/>
  <c r="J9" i="88" s="1"/>
  <c r="O57" i="88"/>
  <c r="O59" i="89"/>
  <c r="F22" i="85"/>
  <c r="J46" i="85"/>
  <c r="J9" i="85" s="1"/>
  <c r="O28" i="85"/>
  <c r="P28" i="85" s="1"/>
  <c r="F53" i="85"/>
  <c r="O64" i="89"/>
  <c r="K72" i="89"/>
  <c r="K9" i="89" s="1"/>
  <c r="F68" i="88"/>
  <c r="F72" i="89"/>
  <c r="F71" i="89"/>
  <c r="L69" i="89"/>
  <c r="O49" i="89"/>
  <c r="L32" i="88"/>
  <c r="L63" i="88"/>
  <c r="L37" i="88"/>
  <c r="O33" i="88"/>
  <c r="K71" i="89"/>
  <c r="K8" i="89" s="1"/>
  <c r="F45" i="89"/>
  <c r="L58" i="88"/>
  <c r="M53" i="88"/>
  <c r="K53" i="88"/>
  <c r="K71" i="88"/>
  <c r="K8" i="88" s="1"/>
  <c r="G30" i="85"/>
  <c r="G26" i="85"/>
  <c r="F17" i="85"/>
  <c r="L68" i="88"/>
  <c r="O38" i="89"/>
  <c r="F42" i="88"/>
  <c r="J45" i="89"/>
  <c r="F72" i="88"/>
  <c r="F46" i="89"/>
  <c r="N43" i="89"/>
  <c r="K68" i="88"/>
  <c r="F53" i="88"/>
  <c r="F71" i="88"/>
  <c r="F27" i="88"/>
  <c r="N69" i="88"/>
  <c r="N73" i="88"/>
  <c r="L69" i="88"/>
  <c r="O49" i="88"/>
  <c r="L53" i="88"/>
  <c r="M43" i="89"/>
  <c r="O28" i="89"/>
  <c r="O33" i="89"/>
  <c r="O13" i="88"/>
  <c r="L43" i="88"/>
  <c r="D15" i="91" s="1"/>
  <c r="J46" i="89"/>
  <c r="J9" i="89" s="1"/>
  <c r="O57" i="89"/>
  <c r="F17" i="88"/>
  <c r="L9" i="85"/>
  <c r="N9" i="85"/>
  <c r="O57" i="85"/>
  <c r="F45" i="85"/>
  <c r="F68" i="85"/>
  <c r="J45" i="85"/>
  <c r="J47" i="85" s="1"/>
  <c r="O23" i="85"/>
  <c r="P23" i="85" s="1"/>
  <c r="O38" i="85"/>
  <c r="P38" i="85" s="1"/>
  <c r="N43" i="85"/>
  <c r="N69" i="85"/>
  <c r="N73" i="85"/>
  <c r="O33" i="85"/>
  <c r="P33" i="85" s="1"/>
  <c r="L43" i="85"/>
  <c r="L47" i="85" s="1"/>
  <c r="O64" i="85"/>
  <c r="P64" i="85" s="1"/>
  <c r="L73" i="85"/>
  <c r="O18" i="85"/>
  <c r="M73" i="85"/>
  <c r="O59" i="85"/>
  <c r="M69" i="85"/>
  <c r="O50" i="85"/>
  <c r="O70" i="85" s="1"/>
  <c r="G22" i="85"/>
  <c r="P14" i="85"/>
  <c r="Q14" i="85"/>
  <c r="R14" i="85" s="1"/>
  <c r="G27" i="85"/>
  <c r="E15" i="91" l="1"/>
  <c r="D16" i="91"/>
  <c r="K73" i="85"/>
  <c r="K74" i="85" s="1"/>
  <c r="F73" i="85"/>
  <c r="M43" i="88"/>
  <c r="M47" i="88" s="1"/>
  <c r="G32" i="85"/>
  <c r="I58" i="85"/>
  <c r="O58" i="85" s="1"/>
  <c r="O56" i="85"/>
  <c r="G42" i="85"/>
  <c r="M68" i="88"/>
  <c r="M32" i="88"/>
  <c r="I67" i="85"/>
  <c r="O67" i="85" s="1"/>
  <c r="M73" i="89"/>
  <c r="M22" i="88"/>
  <c r="G31" i="85"/>
  <c r="G31" i="88"/>
  <c r="G15" i="85"/>
  <c r="G45" i="85" s="1"/>
  <c r="G8" i="85" s="1"/>
  <c r="M6" i="85"/>
  <c r="F45" i="88"/>
  <c r="F8" i="88" s="1"/>
  <c r="I56" i="88"/>
  <c r="M37" i="88"/>
  <c r="M58" i="88"/>
  <c r="M27" i="88"/>
  <c r="O64" i="88"/>
  <c r="O69" i="88" s="1"/>
  <c r="M69" i="88"/>
  <c r="M6" i="88" s="1"/>
  <c r="O28" i="88"/>
  <c r="O18" i="88"/>
  <c r="M42" i="88"/>
  <c r="M63" i="88"/>
  <c r="G41" i="88"/>
  <c r="G41" i="85"/>
  <c r="O62" i="88"/>
  <c r="G40" i="88"/>
  <c r="G26" i="88"/>
  <c r="O62" i="89"/>
  <c r="I63" i="85"/>
  <c r="G30" i="88"/>
  <c r="G35" i="88"/>
  <c r="I66" i="88"/>
  <c r="O63" i="89"/>
  <c r="I61" i="88"/>
  <c r="F9" i="85"/>
  <c r="F47" i="85"/>
  <c r="L73" i="89"/>
  <c r="O66" i="89"/>
  <c r="K73" i="88"/>
  <c r="K74" i="88" s="1"/>
  <c r="H16" i="85"/>
  <c r="H16" i="88"/>
  <c r="H20" i="85"/>
  <c r="O20" i="85" s="1"/>
  <c r="H20" i="88"/>
  <c r="F8" i="89"/>
  <c r="F47" i="89"/>
  <c r="O69" i="89"/>
  <c r="G16" i="85"/>
  <c r="G16" i="88"/>
  <c r="J8" i="85"/>
  <c r="H25" i="85"/>
  <c r="O25" i="85" s="1"/>
  <c r="H25" i="88"/>
  <c r="L73" i="88"/>
  <c r="D14" i="92" s="1"/>
  <c r="D15" i="92" s="1"/>
  <c r="N6" i="89"/>
  <c r="N47" i="89"/>
  <c r="N10" i="89" s="1"/>
  <c r="K73" i="89"/>
  <c r="L6" i="88"/>
  <c r="L47" i="88"/>
  <c r="L47" i="89"/>
  <c r="L6" i="89"/>
  <c r="O36" i="88"/>
  <c r="O36" i="89"/>
  <c r="F9" i="89"/>
  <c r="J8" i="89"/>
  <c r="J47" i="89"/>
  <c r="N6" i="88"/>
  <c r="N47" i="88"/>
  <c r="N10" i="88" s="1"/>
  <c r="J8" i="88"/>
  <c r="J47" i="88"/>
  <c r="M6" i="89"/>
  <c r="M47" i="89"/>
  <c r="F73" i="88"/>
  <c r="H15" i="85"/>
  <c r="H15" i="88"/>
  <c r="H35" i="85"/>
  <c r="O35" i="85" s="1"/>
  <c r="F73" i="89"/>
  <c r="O43" i="89"/>
  <c r="F9" i="88"/>
  <c r="O61" i="89"/>
  <c r="H30" i="85"/>
  <c r="O30" i="85" s="1"/>
  <c r="H30" i="88"/>
  <c r="H31" i="88"/>
  <c r="M74" i="85"/>
  <c r="H21" i="85"/>
  <c r="O21" i="85" s="1"/>
  <c r="L10" i="85"/>
  <c r="H31" i="85"/>
  <c r="O31" i="85" s="1"/>
  <c r="H36" i="85"/>
  <c r="O36" i="85" s="1"/>
  <c r="H26" i="85"/>
  <c r="F8" i="85"/>
  <c r="M10" i="85"/>
  <c r="L74" i="85"/>
  <c r="P18" i="85"/>
  <c r="O43" i="85"/>
  <c r="P59" i="85"/>
  <c r="O69" i="85"/>
  <c r="P69" i="85" s="1"/>
  <c r="N47" i="85"/>
  <c r="N6" i="85"/>
  <c r="O63" i="85"/>
  <c r="L6" i="85"/>
  <c r="J74" i="85"/>
  <c r="J10" i="85"/>
  <c r="F47" i="88" l="1"/>
  <c r="E14" i="92"/>
  <c r="F15" i="91"/>
  <c r="F16" i="91" s="1"/>
  <c r="F26" i="91" s="1"/>
  <c r="F27" i="91" s="1"/>
  <c r="F28" i="91" s="1"/>
  <c r="E16" i="91"/>
  <c r="E26" i="91" s="1"/>
  <c r="E27" i="91" s="1"/>
  <c r="E28" i="91" s="1"/>
  <c r="K10" i="85"/>
  <c r="F74" i="85"/>
  <c r="O58" i="89"/>
  <c r="O56" i="89"/>
  <c r="M73" i="88"/>
  <c r="M10" i="88" s="1"/>
  <c r="G45" i="89"/>
  <c r="G8" i="89" s="1"/>
  <c r="M10" i="89"/>
  <c r="I67" i="88"/>
  <c r="O67" i="89"/>
  <c r="I52" i="85"/>
  <c r="I51" i="85"/>
  <c r="F10" i="85"/>
  <c r="O68" i="89"/>
  <c r="O43" i="88"/>
  <c r="O6" i="88" s="1"/>
  <c r="L10" i="89"/>
  <c r="I68" i="85"/>
  <c r="O68" i="85" s="1"/>
  <c r="O61" i="88"/>
  <c r="O35" i="88"/>
  <c r="O26" i="89"/>
  <c r="H26" i="88"/>
  <c r="O26" i="88" s="1"/>
  <c r="O56" i="88"/>
  <c r="O21" i="89"/>
  <c r="H21" i="88"/>
  <c r="O66" i="88"/>
  <c r="G45" i="88"/>
  <c r="G8" i="88" s="1"/>
  <c r="K10" i="88"/>
  <c r="L10" i="88"/>
  <c r="F74" i="88"/>
  <c r="H27" i="85"/>
  <c r="O27" i="85" s="1"/>
  <c r="F74" i="89"/>
  <c r="F10" i="88"/>
  <c r="L74" i="89"/>
  <c r="O37" i="89"/>
  <c r="O35" i="89"/>
  <c r="N74" i="88"/>
  <c r="J10" i="89"/>
  <c r="J74" i="89"/>
  <c r="L74" i="88"/>
  <c r="O22" i="89"/>
  <c r="O20" i="89"/>
  <c r="O15" i="89"/>
  <c r="O6" i="89"/>
  <c r="O15" i="88"/>
  <c r="O27" i="89"/>
  <c r="O25" i="89"/>
  <c r="G46" i="88"/>
  <c r="G9" i="88" s="1"/>
  <c r="O16" i="88"/>
  <c r="N74" i="89"/>
  <c r="O20" i="88"/>
  <c r="H37" i="85"/>
  <c r="O37" i="85" s="1"/>
  <c r="M74" i="88"/>
  <c r="J10" i="88"/>
  <c r="J74" i="88"/>
  <c r="M74" i="89"/>
  <c r="K74" i="89"/>
  <c r="K10" i="89"/>
  <c r="O25" i="88"/>
  <c r="G46" i="89"/>
  <c r="G9" i="89" s="1"/>
  <c r="O16" i="89"/>
  <c r="F10" i="89"/>
  <c r="O31" i="88"/>
  <c r="O31" i="89"/>
  <c r="O30" i="88"/>
  <c r="O30" i="89"/>
  <c r="O26" i="85"/>
  <c r="H22" i="85"/>
  <c r="O22" i="85" s="1"/>
  <c r="H32" i="85"/>
  <c r="O32" i="85" s="1"/>
  <c r="H17" i="85"/>
  <c r="O15" i="85"/>
  <c r="N10" i="85"/>
  <c r="N74" i="85"/>
  <c r="P43" i="85"/>
  <c r="O6" i="85"/>
  <c r="G17" i="85"/>
  <c r="G46" i="85"/>
  <c r="O16" i="85"/>
  <c r="F14" i="92" l="1"/>
  <c r="F15" i="92" s="1"/>
  <c r="F25" i="92" s="1"/>
  <c r="F26" i="92" s="1"/>
  <c r="F27" i="92" s="1"/>
  <c r="E15" i="92"/>
  <c r="E25" i="92" s="1"/>
  <c r="E26" i="92" s="1"/>
  <c r="E27" i="92" s="1"/>
  <c r="O32" i="89"/>
  <c r="O51" i="85"/>
  <c r="O71" i="85" s="1"/>
  <c r="I53" i="85"/>
  <c r="I71" i="85"/>
  <c r="I8" i="85" s="1"/>
  <c r="O52" i="85"/>
  <c r="O72" i="85" s="1"/>
  <c r="I72" i="85"/>
  <c r="I9" i="85" s="1"/>
  <c r="I51" i="88"/>
  <c r="O51" i="89"/>
  <c r="O71" i="89" s="1"/>
  <c r="I71" i="89"/>
  <c r="I8" i="89" s="1"/>
  <c r="I52" i="88"/>
  <c r="O52" i="89"/>
  <c r="O72" i="89" s="1"/>
  <c r="I72" i="89"/>
  <c r="I9" i="89" s="1"/>
  <c r="O67" i="88"/>
  <c r="O21" i="88"/>
  <c r="O17" i="89"/>
  <c r="G47" i="89"/>
  <c r="O17" i="85"/>
  <c r="P6" i="85"/>
  <c r="Q6" i="85"/>
  <c r="G9" i="85"/>
  <c r="G47" i="85"/>
  <c r="O51" i="88" l="1"/>
  <c r="O71" i="88" s="1"/>
  <c r="I71" i="88"/>
  <c r="I8" i="88" s="1"/>
  <c r="I72" i="88"/>
  <c r="I9" i="88" s="1"/>
  <c r="O52" i="88"/>
  <c r="O72" i="88" s="1"/>
  <c r="I73" i="89"/>
  <c r="O53" i="89"/>
  <c r="O73" i="89" s="1"/>
  <c r="I73" i="85"/>
  <c r="O53" i="85"/>
  <c r="O73" i="85" s="1"/>
  <c r="G74" i="89"/>
  <c r="G10" i="89"/>
  <c r="G74" i="85"/>
  <c r="G10" i="85"/>
  <c r="I74" i="85" l="1"/>
  <c r="I10" i="85"/>
  <c r="I10" i="89"/>
  <c r="I74" i="89"/>
  <c r="H20" i="83"/>
  <c r="F20" i="83"/>
  <c r="D20" i="83"/>
  <c r="G15" i="83"/>
  <c r="E15" i="83"/>
  <c r="C15" i="83"/>
  <c r="D13" i="83"/>
  <c r="G12" i="83"/>
  <c r="E12" i="83"/>
  <c r="C12" i="83"/>
  <c r="G9" i="83"/>
  <c r="E9" i="83"/>
  <c r="D9" i="83"/>
  <c r="C9" i="83" s="1"/>
  <c r="H8" i="83"/>
  <c r="E8" i="83"/>
  <c r="F8" i="83" s="1"/>
  <c r="C8" i="83"/>
  <c r="I6" i="83"/>
  <c r="H10" i="83" l="1"/>
  <c r="H15" i="83" s="1"/>
  <c r="D10" i="83"/>
  <c r="F10" i="83"/>
  <c r="F16" i="83" s="1"/>
  <c r="D8" i="83"/>
  <c r="H18" i="83" l="1"/>
  <c r="H16" i="83"/>
  <c r="H17" i="83"/>
  <c r="F18" i="83"/>
  <c r="F17" i="83"/>
  <c r="F21" i="83" s="1"/>
  <c r="F22" i="83" s="1"/>
  <c r="D17" i="83"/>
  <c r="D15" i="83"/>
  <c r="D18" i="83"/>
  <c r="D16" i="83"/>
  <c r="F15" i="83"/>
  <c r="H21" i="83" l="1"/>
  <c r="H22" i="83" s="1"/>
  <c r="C2" i="11" s="1"/>
  <c r="D21" i="83"/>
  <c r="D22" i="83" s="1"/>
  <c r="B2" i="11" s="1"/>
  <c r="E3" i="85"/>
  <c r="D38" i="85"/>
  <c r="G22" i="83"/>
  <c r="F23" i="83" l="1"/>
  <c r="F3" i="85" s="1"/>
  <c r="H23" i="83"/>
  <c r="G27" i="83" s="1"/>
  <c r="H27" i="83" s="1"/>
  <c r="H29" i="83" s="1"/>
  <c r="D2" i="11"/>
  <c r="F3" i="88" s="1"/>
  <c r="E3" i="88" s="1"/>
  <c r="I50" i="88" s="1"/>
  <c r="G29" i="88"/>
  <c r="G32" i="88" s="1"/>
  <c r="G34" i="88"/>
  <c r="O34" i="88" s="1"/>
  <c r="H29" i="88"/>
  <c r="H32" i="88" s="1"/>
  <c r="I65" i="88"/>
  <c r="G34" i="85"/>
  <c r="H34" i="85"/>
  <c r="H24" i="85"/>
  <c r="G14" i="85"/>
  <c r="H19" i="85"/>
  <c r="H14" i="85"/>
  <c r="H29" i="85"/>
  <c r="I55" i="85"/>
  <c r="I60" i="85"/>
  <c r="G39" i="85"/>
  <c r="G19" i="85"/>
  <c r="I65" i="85"/>
  <c r="G24" i="85"/>
  <c r="I50" i="85"/>
  <c r="G29" i="85"/>
  <c r="H39" i="85"/>
  <c r="D43" i="85"/>
  <c r="D74" i="85" s="1"/>
  <c r="G39" i="88" l="1"/>
  <c r="G42" i="88" s="1"/>
  <c r="O32" i="88"/>
  <c r="O29" i="88"/>
  <c r="H19" i="88"/>
  <c r="H22" i="88" s="1"/>
  <c r="O50" i="88"/>
  <c r="I53" i="88"/>
  <c r="H24" i="88"/>
  <c r="H27" i="88" s="1"/>
  <c r="H14" i="88"/>
  <c r="H17" i="88" s="1"/>
  <c r="I55" i="88"/>
  <c r="I60" i="88"/>
  <c r="G19" i="88"/>
  <c r="G22" i="88" s="1"/>
  <c r="G14" i="88"/>
  <c r="G24" i="88"/>
  <c r="H39" i="88"/>
  <c r="O39" i="88" s="1"/>
  <c r="I68" i="88"/>
  <c r="O68" i="88" s="1"/>
  <c r="G37" i="88"/>
  <c r="O37" i="88" s="1"/>
  <c r="O65" i="88"/>
  <c r="G44" i="85"/>
  <c r="G7" i="85" s="1"/>
  <c r="O53" i="88"/>
  <c r="I70" i="85"/>
  <c r="I7" i="85" s="1"/>
  <c r="H44" i="85"/>
  <c r="O39" i="85"/>
  <c r="O44" i="85" s="1"/>
  <c r="O22" i="88" l="1"/>
  <c r="O60" i="88"/>
  <c r="I63" i="88"/>
  <c r="O63" i="88" s="1"/>
  <c r="H44" i="88"/>
  <c r="H7" i="88" s="1"/>
  <c r="O55" i="88"/>
  <c r="O70" i="88" s="1"/>
  <c r="I58" i="88"/>
  <c r="O19" i="88"/>
  <c r="I70" i="88"/>
  <c r="I7" i="88" s="1"/>
  <c r="G27" i="88"/>
  <c r="O27" i="88" s="1"/>
  <c r="O24" i="88"/>
  <c r="O14" i="88"/>
  <c r="G17" i="88"/>
  <c r="O17" i="88" s="1"/>
  <c r="G44" i="88"/>
  <c r="H40" i="88"/>
  <c r="H41" i="88"/>
  <c r="O7" i="85"/>
  <c r="H7" i="85"/>
  <c r="H40" i="85"/>
  <c r="H41" i="85"/>
  <c r="O58" i="88" l="1"/>
  <c r="O73" i="88" s="1"/>
  <c r="I73" i="88"/>
  <c r="G47" i="88"/>
  <c r="G7" i="88"/>
  <c r="O44" i="88"/>
  <c r="O7" i="88" s="1"/>
  <c r="O40" i="89"/>
  <c r="O45" i="89" s="1"/>
  <c r="H45" i="89"/>
  <c r="H42" i="88"/>
  <c r="O42" i="88" s="1"/>
  <c r="O40" i="88"/>
  <c r="O45" i="88" s="1"/>
  <c r="H45" i="88"/>
  <c r="O42" i="89"/>
  <c r="O41" i="89"/>
  <c r="O46" i="89" s="1"/>
  <c r="O9" i="89" s="1"/>
  <c r="H46" i="89"/>
  <c r="H9" i="89" s="1"/>
  <c r="O41" i="88"/>
  <c r="O46" i="88" s="1"/>
  <c r="O9" i="88" s="1"/>
  <c r="H46" i="88"/>
  <c r="H9" i="88" s="1"/>
  <c r="O41" i="85"/>
  <c r="O46" i="85" s="1"/>
  <c r="O9" i="85" s="1"/>
  <c r="H46" i="85"/>
  <c r="H9" i="85" s="1"/>
  <c r="O40" i="85"/>
  <c r="O45" i="85" s="1"/>
  <c r="H45" i="85"/>
  <c r="H42" i="85"/>
  <c r="O42" i="85" s="1"/>
  <c r="I74" i="88" l="1"/>
  <c r="I10" i="88"/>
  <c r="G10" i="88"/>
  <c r="G74" i="88"/>
  <c r="H47" i="88"/>
  <c r="H8" i="88"/>
  <c r="O8" i="89"/>
  <c r="O47" i="89"/>
  <c r="O10" i="89" s="1"/>
  <c r="O47" i="88"/>
  <c r="O10" i="88" s="1"/>
  <c r="O8" i="88"/>
  <c r="H47" i="89"/>
  <c r="H8" i="89"/>
  <c r="H8" i="85"/>
  <c r="H47" i="85"/>
  <c r="O8" i="85"/>
  <c r="O47" i="85"/>
  <c r="O10" i="85" s="1"/>
  <c r="H10" i="88" l="1"/>
  <c r="H74" i="88"/>
  <c r="O74" i="88" s="1"/>
  <c r="H10" i="89"/>
  <c r="H74" i="89"/>
  <c r="O74" i="89" s="1"/>
  <c r="H74" i="85"/>
  <c r="H10" i="85"/>
  <c r="O74" i="85" l="1"/>
  <c r="P74" i="85" s="1"/>
  <c r="H76" i="89"/>
</calcChain>
</file>

<file path=xl/comments1.xml><?xml version="1.0" encoding="utf-8"?>
<comments xmlns="http://schemas.openxmlformats.org/spreadsheetml/2006/main">
  <authors>
    <author>Yair Kfir</author>
  </authors>
  <commentList>
    <comment ref="B59" authorId="0" shapeId="0">
      <text>
        <r>
          <rPr>
            <b/>
            <sz val="9"/>
            <color indexed="81"/>
            <rFont val="Tahoma"/>
            <family val="2"/>
          </rPr>
          <t>Yair Kfir:</t>
        </r>
        <r>
          <rPr>
            <sz val="9"/>
            <color indexed="81"/>
            <rFont val="Tahoma"/>
            <family val="2"/>
          </rPr>
          <t xml:space="preserve">
עודכן בהתאם לשטחים בפועל. </t>
        </r>
      </text>
    </comment>
  </commentList>
</comments>
</file>

<file path=xl/comments10.xml><?xml version="1.0" encoding="utf-8"?>
<comments xmlns="http://schemas.openxmlformats.org/spreadsheetml/2006/main">
  <authors>
    <author>Yair Kfir</author>
  </authors>
  <commentList>
    <comment ref="B59" authorId="0" shapeId="0">
      <text>
        <r>
          <rPr>
            <b/>
            <sz val="9"/>
            <color indexed="81"/>
            <rFont val="Tahoma"/>
            <family val="2"/>
          </rPr>
          <t>Yair Kfir:</t>
        </r>
        <r>
          <rPr>
            <sz val="9"/>
            <color indexed="81"/>
            <rFont val="Tahoma"/>
            <family val="2"/>
          </rPr>
          <t xml:space="preserve">
עודכן בהתאם לשטחים בפועל. </t>
        </r>
      </text>
    </comment>
  </commentList>
</comments>
</file>

<file path=xl/comments11.xml><?xml version="1.0" encoding="utf-8"?>
<comments xmlns="http://schemas.openxmlformats.org/spreadsheetml/2006/main">
  <authors>
    <author>Yair Kfir</author>
  </authors>
  <commentList>
    <comment ref="B59" authorId="0" shapeId="0">
      <text>
        <r>
          <rPr>
            <b/>
            <sz val="9"/>
            <color indexed="81"/>
            <rFont val="Tahoma"/>
            <family val="2"/>
          </rPr>
          <t>Yair Kfir:</t>
        </r>
        <r>
          <rPr>
            <sz val="9"/>
            <color indexed="81"/>
            <rFont val="Tahoma"/>
            <family val="2"/>
          </rPr>
          <t xml:space="preserve">
עודכן בהתאם לשטחים בפועל. </t>
        </r>
      </text>
    </comment>
  </commentList>
</comments>
</file>

<file path=xl/comments12.xml><?xml version="1.0" encoding="utf-8"?>
<comments xmlns="http://schemas.openxmlformats.org/spreadsheetml/2006/main">
  <authors>
    <author>Yair Kfir</author>
  </authors>
  <commentList>
    <comment ref="B59" authorId="0" shapeId="0">
      <text>
        <r>
          <rPr>
            <b/>
            <sz val="9"/>
            <color indexed="81"/>
            <rFont val="Tahoma"/>
            <family val="2"/>
          </rPr>
          <t>Yair Kfir:</t>
        </r>
        <r>
          <rPr>
            <sz val="9"/>
            <color indexed="81"/>
            <rFont val="Tahoma"/>
            <family val="2"/>
          </rPr>
          <t xml:space="preserve">
עודכן בהתאם לשטחים בפועל. </t>
        </r>
      </text>
    </comment>
  </commentList>
</comments>
</file>

<file path=xl/comments13.xml><?xml version="1.0" encoding="utf-8"?>
<comments xmlns="http://schemas.openxmlformats.org/spreadsheetml/2006/main">
  <authors>
    <author>Yair Kfir</author>
  </authors>
  <commentList>
    <comment ref="B59" authorId="0" shapeId="0">
      <text>
        <r>
          <rPr>
            <b/>
            <sz val="9"/>
            <color indexed="81"/>
            <rFont val="Tahoma"/>
            <family val="2"/>
          </rPr>
          <t>Yair Kfir:</t>
        </r>
        <r>
          <rPr>
            <sz val="9"/>
            <color indexed="81"/>
            <rFont val="Tahoma"/>
            <family val="2"/>
          </rPr>
          <t xml:space="preserve">
עודכן בהתאם לשטחים בפועל. </t>
        </r>
      </text>
    </comment>
  </commentList>
</comments>
</file>

<file path=xl/comments2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3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4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5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6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7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8.xml><?xml version="1.0" encoding="utf-8"?>
<comments xmlns="http://schemas.openxmlformats.org/spreadsheetml/2006/main">
  <authors>
    <author>Keren Carmely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comments9.xml><?xml version="1.0" encoding="utf-8"?>
<comments xmlns="http://schemas.openxmlformats.org/spreadsheetml/2006/main">
  <authors>
    <author>Keren Carmely</author>
  </authors>
  <commentList>
    <comment ref="I21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שכר, רכב ודלק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Keren Carmely:</t>
        </r>
        <r>
          <rPr>
            <sz val="9"/>
            <color indexed="81"/>
            <rFont val="Tahoma"/>
            <family val="2"/>
          </rPr>
          <t xml:space="preserve">
שכר קב"ט + סגן קב"ט, מאבטחים, ביטחון וחניה</t>
        </r>
      </text>
    </comment>
  </commentList>
</comments>
</file>

<file path=xl/sharedStrings.xml><?xml version="1.0" encoding="utf-8"?>
<sst xmlns="http://schemas.openxmlformats.org/spreadsheetml/2006/main" count="2065" uniqueCount="425">
  <si>
    <t>שייח גראח</t>
  </si>
  <si>
    <t>שכון</t>
  </si>
  <si>
    <t>מדע</t>
  </si>
  <si>
    <t>בטחון פנים</t>
  </si>
  <si>
    <t>משטרה</t>
  </si>
  <si>
    <t xml:space="preserve">בטחון </t>
  </si>
  <si>
    <t>סה"כ שיח גראח</t>
  </si>
  <si>
    <t>תעסוקה</t>
  </si>
  <si>
    <t>רווחה</t>
  </si>
  <si>
    <t>אוכלוסין</t>
  </si>
  <si>
    <t>סה"כ ממוניה</t>
  </si>
  <si>
    <t>פרק 1 - מנהלה</t>
  </si>
  <si>
    <t>אופן חלוקה</t>
  </si>
  <si>
    <t>בין כולם</t>
  </si>
  <si>
    <t>פרק</t>
  </si>
  <si>
    <t>ספיציפי למשרדים</t>
  </si>
  <si>
    <t xml:space="preserve">מע"מ </t>
  </si>
  <si>
    <t>ממוניה בלבד</t>
  </si>
  <si>
    <t>שיח גראח בלבד</t>
  </si>
  <si>
    <t>פרק 4 - אחזקת מערכות שיח גראח</t>
  </si>
  <si>
    <t>סה"כ  לשני המתחמים</t>
  </si>
  <si>
    <t>חלוקת שטחים</t>
  </si>
  <si>
    <t>פרק 2- נקיון פנימי</t>
  </si>
  <si>
    <t>פרק 6 - עבודות נוספות לפי שעות עבודה ומחירון (ללא סעיף 6.7)</t>
  </si>
  <si>
    <t>אומדן סעיפי גב אל גב נקיון ותשלומים בפועל כאמור בהערות (4)</t>
  </si>
  <si>
    <t>פרק 3 - אחזקה ניקיון ממוניה</t>
  </si>
  <si>
    <t>השרות הלאומי אזרחי</t>
  </si>
  <si>
    <t>אחוז</t>
  </si>
  <si>
    <t>פרק -2 אחזקה,נקיון, הדברה וגינון משותף - סעיפים 2.1,2.2,2.7,2.8</t>
  </si>
  <si>
    <t>שינוי</t>
  </si>
  <si>
    <t>משרד השיכון</t>
  </si>
  <si>
    <t xml:space="preserve">תוספת שעות הדרכה וחוגים בחדר כושר בניין א'  </t>
  </si>
  <si>
    <t>הערות</t>
  </si>
  <si>
    <t>סה"כ</t>
  </si>
  <si>
    <t>סה"כ שנתי לא כולל מעמ</t>
  </si>
  <si>
    <t>סה"כ שנתי כולל מע"מ</t>
  </si>
  <si>
    <t>מאמוניה</t>
  </si>
  <si>
    <t>עלות עובד לשעה מכרז שיח גראח</t>
  </si>
  <si>
    <t>סעיף</t>
  </si>
  <si>
    <t>שכר</t>
  </si>
  <si>
    <t>חופשה</t>
  </si>
  <si>
    <t>הבראה</t>
  </si>
  <si>
    <t xml:space="preserve">חגים </t>
  </si>
  <si>
    <t>מחלה</t>
  </si>
  <si>
    <t>יבוצע חיוב נפרד בהתאם לעלות בפועל.</t>
  </si>
  <si>
    <t>תוספת ותק</t>
  </si>
  <si>
    <t>שי לחג</t>
  </si>
  <si>
    <t xml:space="preserve">נסיעות </t>
  </si>
  <si>
    <t xml:space="preserve">ביטוח לאומי </t>
  </si>
  <si>
    <t>מבוסס על ממוצע בסיס 3.45% - 85% ומדרגה שנייה 7.5% לפי 15%</t>
  </si>
  <si>
    <t>פנסיה</t>
  </si>
  <si>
    <t>פיצויים</t>
  </si>
  <si>
    <t>קרן השתלמות</t>
  </si>
  <si>
    <t>פנסיה נסיעות</t>
  </si>
  <si>
    <t>מענק מצוינות</t>
  </si>
  <si>
    <t>מנט / יס"מ</t>
  </si>
  <si>
    <t>עדכון לאור עליית שכר מינימום 1/1/2017</t>
  </si>
  <si>
    <t>חישוב מקורי -  עד ל 1/7/16</t>
  </si>
  <si>
    <t>חישוב קודם - נכון ל 1/7/16</t>
  </si>
  <si>
    <t>חישוב עדכני ל 1/1/17</t>
  </si>
  <si>
    <t xml:space="preserve">אחוז </t>
  </si>
  <si>
    <t xml:space="preserve">עלות </t>
  </si>
  <si>
    <t xml:space="preserve">סה"כ עלות </t>
  </si>
  <si>
    <t>פרק 5 - אחזקת מערכות ממוניה (כוללת תוספת בגין מערכות אבטחה)</t>
  </si>
  <si>
    <t>רכיבי העלות</t>
  </si>
  <si>
    <t>שעות ניקיון בחודש</t>
  </si>
  <si>
    <t>שכר שעתי</t>
  </si>
  <si>
    <t>הצמדה 35%</t>
  </si>
  <si>
    <t>הצמדה 65%</t>
  </si>
  <si>
    <t>לא צמוד</t>
  </si>
  <si>
    <t>סה"כ שייח' ג'ראח ומאמוניה</t>
  </si>
  <si>
    <t>השכר הממוצע על פי סעיפים 1 ו-2 לחוק</t>
  </si>
  <si>
    <t>החל ביום</t>
  </si>
  <si>
    <t>לפי סעיף 1</t>
  </si>
  <si>
    <t>לפי סעיף 2 לצורך חישוב של</t>
  </si>
  <si>
    <t>גימלאות</t>
  </si>
  <si>
    <t>דמי ביטוח</t>
  </si>
  <si>
    <t>שכר חודשי ממוצע</t>
  </si>
  <si>
    <t>אחוז שינוי</t>
  </si>
  <si>
    <t>(ש"ח)</t>
  </si>
  <si>
    <t>(באחוזים)</t>
  </si>
  <si>
    <t>1.01.2017</t>
  </si>
  <si>
    <t>1.01.2016</t>
  </si>
  <si>
    <t>1.01.2015</t>
  </si>
  <si>
    <t>1.01.2014</t>
  </si>
  <si>
    <t>1.01.2013</t>
  </si>
  <si>
    <t>1.01.2012</t>
  </si>
  <si>
    <t>1.01.2011</t>
  </si>
  <si>
    <t>1.01.2010</t>
  </si>
  <si>
    <t>1.01.2009</t>
  </si>
  <si>
    <t>1.01.2008</t>
  </si>
  <si>
    <t>1.01.2007</t>
  </si>
  <si>
    <t>1.01.2006</t>
  </si>
  <si>
    <t>1.01.2003</t>
  </si>
  <si>
    <t>--</t>
  </si>
  <si>
    <t>1.04.2002</t>
  </si>
  <si>
    <t>1.03.2002</t>
  </si>
  <si>
    <t>1.01.2002</t>
  </si>
  <si>
    <t>1.01.2001</t>
  </si>
  <si>
    <t>1.01.2000</t>
  </si>
  <si>
    <t>1.01.1999</t>
  </si>
  <si>
    <t>1.10.1998</t>
  </si>
  <si>
    <t>1.08.1998</t>
  </si>
  <si>
    <t>1.01.1998</t>
  </si>
  <si>
    <t>1.10.1997</t>
  </si>
  <si>
    <t>1.08.1997</t>
  </si>
  <si>
    <t>1.04.1997</t>
  </si>
  <si>
    <t>1.02.1997</t>
  </si>
  <si>
    <t>1.01.1997</t>
  </si>
  <si>
    <t>1.10.1996</t>
  </si>
  <si>
    <t>1.08.1996</t>
  </si>
  <si>
    <t>1.04.1996</t>
  </si>
  <si>
    <t>1.02.1996</t>
  </si>
  <si>
    <t>1.01.1996</t>
  </si>
  <si>
    <t>1.10.1995</t>
  </si>
  <si>
    <t>1.08.1995</t>
  </si>
  <si>
    <t>1.04.1995</t>
  </si>
  <si>
    <t>1.02.1995</t>
  </si>
  <si>
    <t>1.01.1995</t>
  </si>
  <si>
    <t>1.10.1994</t>
  </si>
  <si>
    <t>1.08.1994</t>
  </si>
  <si>
    <t>1.04.1994</t>
  </si>
  <si>
    <t>1.02.1994</t>
  </si>
  <si>
    <t>1.01.1994</t>
  </si>
  <si>
    <t>1.10.1993</t>
  </si>
  <si>
    <t>1.08.1993</t>
  </si>
  <si>
    <t>1.04.1993</t>
  </si>
  <si>
    <t>1.02.1993</t>
  </si>
  <si>
    <t>1.01.1993</t>
  </si>
  <si>
    <t>1.10.1992</t>
  </si>
  <si>
    <t>1.08.1992</t>
  </si>
  <si>
    <t>1.04.1992</t>
  </si>
  <si>
    <t>1.02.1992</t>
  </si>
  <si>
    <t>1.01.1992</t>
  </si>
  <si>
    <t xml:space="preserve"> השכר הממוצע על פי סעיף 1 לחוק</t>
  </si>
  <si>
    <t>לצורך חישוב של</t>
  </si>
  <si>
    <t>1.10.1991</t>
  </si>
  <si>
    <t>1.08.1991</t>
  </si>
  <si>
    <t>1.04.1991</t>
  </si>
  <si>
    <t>1.03.1991</t>
  </si>
  <si>
    <t>1.01.1991</t>
  </si>
  <si>
    <t>1.10.1990</t>
  </si>
  <si>
    <t>1.09.1990</t>
  </si>
  <si>
    <t>1.04.1990</t>
  </si>
  <si>
    <t>1.03.1990</t>
  </si>
  <si>
    <t>1.01.1990</t>
  </si>
  <si>
    <t>1.10.1989</t>
  </si>
  <si>
    <t>1.09.1989</t>
  </si>
  <si>
    <t>1.08.1989</t>
  </si>
  <si>
    <t>1.04.1989</t>
  </si>
  <si>
    <t>1.02.1989</t>
  </si>
  <si>
    <t>1.01.1989</t>
  </si>
  <si>
    <t>1.10.1988</t>
  </si>
  <si>
    <t>1.04.1988</t>
  </si>
  <si>
    <t>1.03.1988</t>
  </si>
  <si>
    <t>1.01.1988</t>
  </si>
  <si>
    <t>1.10.1987</t>
  </si>
  <si>
    <t>1.04.1987</t>
  </si>
  <si>
    <t>1.03.1987</t>
  </si>
  <si>
    <t>1.01.1987</t>
  </si>
  <si>
    <t>1.11.1986</t>
  </si>
  <si>
    <t>1.07.1986</t>
  </si>
  <si>
    <t>1.06.1986</t>
  </si>
  <si>
    <t>1.04.1986</t>
  </si>
  <si>
    <t>1.02.1986</t>
  </si>
  <si>
    <t>1.01.1986</t>
  </si>
  <si>
    <t>השכר הממוצע על פי סעיף 1 לחוק</t>
  </si>
  <si>
    <t>לפי החוק</t>
  </si>
  <si>
    <t>לצורך חישוב דמי ביטוח</t>
  </si>
  <si>
    <t>(שקלים)</t>
  </si>
  <si>
    <t>1.12.1985</t>
  </si>
  <si>
    <t>1.11.1985</t>
  </si>
  <si>
    <t>1.10.1985</t>
  </si>
  <si>
    <t>1.08.1985</t>
  </si>
  <si>
    <t>1.07.1985</t>
  </si>
  <si>
    <t>1.05.1985</t>
  </si>
  <si>
    <t>1.04.1985</t>
  </si>
  <si>
    <t>1.03.1985</t>
  </si>
  <si>
    <t>1.02.1985</t>
  </si>
  <si>
    <t>1.01.1985</t>
  </si>
  <si>
    <t>1.12.1984</t>
  </si>
  <si>
    <t>1.11.1984</t>
  </si>
  <si>
    <t>1.10.1984</t>
  </si>
  <si>
    <t>1.09.1984</t>
  </si>
  <si>
    <t>1.08.1984</t>
  </si>
  <si>
    <t>1.07.1984</t>
  </si>
  <si>
    <t>1.06.1984</t>
  </si>
  <si>
    <t>1.05.1984</t>
  </si>
  <si>
    <t>1.04.1984</t>
  </si>
  <si>
    <t>1.01.1984</t>
  </si>
  <si>
    <t>1.12.1983</t>
  </si>
  <si>
    <t>1.10.1983</t>
  </si>
  <si>
    <t>1.07.1983</t>
  </si>
  <si>
    <t>1.04.1983</t>
  </si>
  <si>
    <t>1.01.1983</t>
  </si>
  <si>
    <t>1.10.1982</t>
  </si>
  <si>
    <t>1.07.1982</t>
  </si>
  <si>
    <t>1.04.1982</t>
  </si>
  <si>
    <t>1.01.1982</t>
  </si>
  <si>
    <t>1.10.1981</t>
  </si>
  <si>
    <t>1.07.1981</t>
  </si>
  <si>
    <t>1.04.1981</t>
  </si>
  <si>
    <t>1.01.1981</t>
  </si>
  <si>
    <t>1.10.1980</t>
  </si>
  <si>
    <t>1.07.1980</t>
  </si>
  <si>
    <t>1.04.1979</t>
  </si>
  <si>
    <t>1.04.1978</t>
  </si>
  <si>
    <t>1.04.1977</t>
  </si>
  <si>
    <t>1.04.1976</t>
  </si>
  <si>
    <t>1.04.1975</t>
  </si>
  <si>
    <t>1.04.1974</t>
  </si>
  <si>
    <t>1.04.1973</t>
  </si>
  <si>
    <t>תאריך</t>
  </si>
  <si>
    <t>מדד בנקודות</t>
  </si>
  <si>
    <t>בסיס 2014:לפי בסיס</t>
  </si>
  <si>
    <t>חלוקת הוצאות אחזקה וניקיון בין המשרדים במתחם שייח ג'ראח וממוניה - חישוב עלויות דצמבר 16 (כולל עליית שכר מינימום ותוספת מערכות מאמוניה ל 2016)</t>
  </si>
  <si>
    <t>חלוקת הוצאות אחזקה וניקיון בין המשרדים במתחם שייח ג'ראח וממוניה - חישוב עלויות ינואר 17  (כולל הצמדות לפי מנגנון חדש ותוספת מערכות מאמוניה ל 2017)</t>
  </si>
  <si>
    <t>עלות 1/7/16</t>
  </si>
  <si>
    <t>עלות 1/1/17</t>
  </si>
  <si>
    <t>חוזה תלפיות ועפולה בט"פ</t>
  </si>
  <si>
    <t>תעריף לשעת עבודה - ניקיון</t>
  </si>
  <si>
    <t>תקורה לתעריף שעת עבודה - ניקיון</t>
  </si>
  <si>
    <t>סה"כ עלות שעת ניקיון</t>
  </si>
  <si>
    <t xml:space="preserve">עליית שכר </t>
  </si>
  <si>
    <t>חלוקת הוצאות אחזקה וניקיון בין המשרדים במתחם שייח ג'ראח וממוניה - בסיס נכון לדצמבר 2016 ללא הצמדות</t>
  </si>
  <si>
    <t>מדד</t>
  </si>
  <si>
    <t>בסיס</t>
  </si>
  <si>
    <t>שכר מינימום</t>
  </si>
  <si>
    <t>שכר ממוצע</t>
  </si>
  <si>
    <t>מדד המחירים לצרכן</t>
  </si>
  <si>
    <t>שעות משותפות</t>
  </si>
  <si>
    <t xml:space="preserve">קריית ממשלה </t>
  </si>
  <si>
    <t xml:space="preserve">שטח הקריה ברוטו במ"ר  </t>
  </si>
  <si>
    <t xml:space="preserve">דמי ניהול </t>
  </si>
  <si>
    <t>סה"כ לפני מע"מ</t>
  </si>
  <si>
    <t>מע"מ</t>
  </si>
  <si>
    <t>סה"כ אחרי מע"מ</t>
  </si>
  <si>
    <t>סה"כ שכ"ע מנהלת + קב"ט</t>
  </si>
  <si>
    <t xml:space="preserve">עלות למ"ר לשנה </t>
  </si>
  <si>
    <t>עלות למ"ר לחודש</t>
  </si>
  <si>
    <t>מנהל/ת</t>
  </si>
  <si>
    <t>מנהלן/נית</t>
  </si>
  <si>
    <t>עלות למ"ר/חודש</t>
  </si>
  <si>
    <t>קב"ט/ית</t>
  </si>
  <si>
    <t>סגן קב"ט/ית</t>
  </si>
  <si>
    <t>הוצאות אחזקה</t>
  </si>
  <si>
    <t>שונות:</t>
  </si>
  <si>
    <t xml:space="preserve">הוצאות ניקיון </t>
  </si>
  <si>
    <t>הוצאות אבטחה +מודיעין</t>
  </si>
  <si>
    <t>עלות הוצאות משרדיות</t>
  </si>
  <si>
    <t xml:space="preserve">סה"כ </t>
  </si>
  <si>
    <t xml:space="preserve">אחזקה - שירות שוטף </t>
  </si>
  <si>
    <t xml:space="preserve">אחזקת מעליות +חלפים </t>
  </si>
  <si>
    <t>הוצאות טלפון הנהלת הקריה + מוקד</t>
  </si>
  <si>
    <t>מערכת גילוי אש</t>
  </si>
  <si>
    <t xml:space="preserve"> גנרטור</t>
  </si>
  <si>
    <t>מערכת בקרה</t>
  </si>
  <si>
    <t>שירות מתח גבוה</t>
  </si>
  <si>
    <t>מערכת כריזה</t>
  </si>
  <si>
    <t>מערכות ביטחון</t>
  </si>
  <si>
    <t>נקיון - שירות שוטף</t>
  </si>
  <si>
    <t xml:space="preserve">פינויי אשפה </t>
  </si>
  <si>
    <t xml:space="preserve">הדברה </t>
  </si>
  <si>
    <t>גינון שטחים ציבוריים</t>
  </si>
  <si>
    <t>ניקיון מעטפת קיר מסך</t>
  </si>
  <si>
    <t xml:space="preserve">הוצאות אבטחה </t>
  </si>
  <si>
    <t>הוצאות ביטחון - שירות שוטף</t>
  </si>
  <si>
    <t>מודיעין</t>
  </si>
  <si>
    <t>סייר ערב + סופ״ש וחגים</t>
  </si>
  <si>
    <t xml:space="preserve"> </t>
  </si>
  <si>
    <t>צרכי משרד</t>
  </si>
  <si>
    <t>שירותי משרד ויעוץ</t>
  </si>
  <si>
    <t>הוצאות תקשורת</t>
  </si>
  <si>
    <t>עלות חודשית</t>
  </si>
  <si>
    <t>לא כלול בחוזה</t>
  </si>
  <si>
    <t>ניהול האחזקה</t>
  </si>
  <si>
    <t>ניקיון : תשלומי גב אל גב לעובדי ניקיון</t>
  </si>
  <si>
    <t>כלול</t>
  </si>
  <si>
    <t>תקציב משוריין שהדיירים מאשרים את הצורך ואת הביצוע</t>
  </si>
  <si>
    <t>הוצאות חשמל: הערכה ממוצעת משנה קודמת</t>
  </si>
  <si>
    <t>הוצאות מים : הערכה ממוצעת משנה קודמת</t>
  </si>
  <si>
    <t>כלול בהוצאות ניהול האחזקה</t>
  </si>
  <si>
    <t>שכר ניקיון שעתי</t>
  </si>
  <si>
    <t>רכיבי 35 אחוז</t>
  </si>
  <si>
    <t>רכיבי 65 אחוז</t>
  </si>
  <si>
    <t>סה"כ חודשי לא כולל מעמ</t>
  </si>
  <si>
    <t>בדיקה</t>
  </si>
  <si>
    <t xml:space="preserve">סה"כ שכ"ע מנהלת </t>
  </si>
  <si>
    <t>אומדן סעיפי גב אל גב נקיון ותשלומים בפועל כאמור בהערות (4) וכולל הסעדה</t>
  </si>
  <si>
    <t>תוספת בגין הפעלת חדר כושר</t>
  </si>
  <si>
    <t>למשרד השיכון בלבד</t>
  </si>
  <si>
    <t xml:space="preserve">אחזקה וניקיון </t>
  </si>
  <si>
    <t>ניקיון פנימי משרד האוכלוסין</t>
  </si>
  <si>
    <t>אומדן עלות אחזקת אבטחה אוכלוסין</t>
  </si>
  <si>
    <t>אבטחה פנימי למשרד האוכלוסין</t>
  </si>
  <si>
    <t>עלות הנהלה - ניהול אבטחה</t>
  </si>
  <si>
    <t>תוספת - מנהלנית</t>
  </si>
  <si>
    <t xml:space="preserve">עבודות נוספות לפי שעות עבודה ומחירון </t>
  </si>
  <si>
    <t>לכל משרד בנפרד</t>
  </si>
  <si>
    <t>סה"כ מעבר עטרות</t>
  </si>
  <si>
    <t>ביטוח לאומי</t>
  </si>
  <si>
    <t>דואר ישראל</t>
  </si>
  <si>
    <t>עיריית ירושלים</t>
  </si>
  <si>
    <t>בדיקה מעבר עטרות</t>
  </si>
  <si>
    <t>מערכות בטחון אוכלוסין</t>
  </si>
  <si>
    <t>ניקיון : אחה"צ אוכלוסין</t>
  </si>
  <si>
    <t>לא ידוע</t>
  </si>
  <si>
    <t>35% רכיבי</t>
  </si>
  <si>
    <t xml:space="preserve">65% רכיבי </t>
  </si>
  <si>
    <t>ניקיון פנימי משרד</t>
  </si>
  <si>
    <t>אבטחה כללית</t>
  </si>
  <si>
    <t>אבטחה פנימי למשרד</t>
  </si>
  <si>
    <t>סה"כ חפציבה</t>
  </si>
  <si>
    <t>רשות המים</t>
  </si>
  <si>
    <t>משרד ראש הממשלה - תקשוב הממשלתי</t>
  </si>
  <si>
    <t>משרד האוצר - מרכבה</t>
  </si>
  <si>
    <t>בדיקה חפציבה</t>
  </si>
  <si>
    <t>חפציבה</t>
  </si>
  <si>
    <t>משרדי ממשלה</t>
  </si>
  <si>
    <t>עטרות/ קלנדיה</t>
  </si>
  <si>
    <t>דמי ניהול - אחזקה וניקיון</t>
  </si>
  <si>
    <t>שונות: ניהול האבטחה</t>
  </si>
  <si>
    <t xml:space="preserve">חלוקת הוצאות אחזקה וניקיון בין המשרדים במתחם שייח ג'ראח וממוניה - חישוב עלויות ינואר 19 </t>
  </si>
  <si>
    <t>שינוי חודשי מינואר 18</t>
  </si>
  <si>
    <t>סה"כ שנתי</t>
  </si>
  <si>
    <t>סה"כ חודשי</t>
  </si>
  <si>
    <t>מ"ר</t>
  </si>
  <si>
    <t>תקציב 12 ₪ ל 1 מ"ר בנכס מדינה</t>
  </si>
  <si>
    <t>פרויקטים שאושרו ע"י מנהל הדיור</t>
  </si>
  <si>
    <t>8 מעליות</t>
  </si>
  <si>
    <t>איטום גגות</t>
  </si>
  <si>
    <t>לוחות חשמל בניין א' + ג' חיוני</t>
  </si>
  <si>
    <t>הזזת קו מתח ראשי של ממבנה מחוץ לקרייה</t>
  </si>
  <si>
    <t>יועץ מנ"מ</t>
  </si>
  <si>
    <t>אומדן להחלפת מערכות בטחון</t>
  </si>
  <si>
    <t>משרד הרווחה</t>
  </si>
  <si>
    <t>כיבוי אש ובטיחות</t>
  </si>
  <si>
    <t>שונות: תקצוב כיבוי אש ובטיחות</t>
  </si>
  <si>
    <t xml:space="preserve">ניקיון פנימי משרד </t>
  </si>
  <si>
    <t>אוכלוסין בלבד - קבלת קהל</t>
  </si>
  <si>
    <t>בניין ג'נרלי</t>
  </si>
  <si>
    <t>רשות האוכלוסין, לשכה מחוזית ירושלים</t>
  </si>
  <si>
    <t>משרד הפנים, מחוז ירושלים</t>
  </si>
  <si>
    <t>מינהל התכנון, מחוז ירושלים ויחידת המחשוב</t>
  </si>
  <si>
    <t>משרד האוצר, פיקוח על הבנייה, מחוז ירושלים</t>
  </si>
  <si>
    <t>משרד התחבורה, השירות המטאורולוגי</t>
  </si>
  <si>
    <t>הערה: המחירים אינם כוללים אחזקת מערכות בטחון, אבטחה וניהול האבטחה ככל שידרש ע"י הלקוח</t>
  </si>
  <si>
    <t>הערה: מתוכנן שינוי בחלוקת השטח בין משרד האוצר לבין משרד התחבורה. תמחור זה הינו לאחר שינוי הגדרת שטח השינוי.</t>
  </si>
  <si>
    <t>רשות האוכלוסין משרד ראשי</t>
  </si>
  <si>
    <t>רשות אוכלוסין - משרד ראשי</t>
  </si>
  <si>
    <t>תקציב לעבודות נוספות שאינן כלולות באחריות חברת הניהול</t>
  </si>
  <si>
    <t>איטום גגות - גג יס"מ</t>
  </si>
  <si>
    <t>הפרדות אש ואישור כב"א - אומדן</t>
  </si>
  <si>
    <t>דו שנתי</t>
  </si>
  <si>
    <t>סה"כ דו שהתי</t>
  </si>
  <si>
    <t>איטום גג - טרם סוכם</t>
  </si>
  <si>
    <t>נדרש לתקצב למרות שאינו נכס מדינה לאור מצב הבטיחות במבנה</t>
  </si>
  <si>
    <t>עבודות בטיחות - אומדן</t>
  </si>
  <si>
    <t>סה"כ דו שנתי</t>
  </si>
  <si>
    <t>תקציב 12 ₪ ל 1 מ"ר בנכס דמי מפתח - מינימום 6 ₪ ל מ"ר</t>
  </si>
  <si>
    <t>הערה: סכומים אלו אינם כוללים יישום מנגנון הצמדות בינואר 2021 לכל השנה</t>
  </si>
  <si>
    <t xml:space="preserve"> קריית הממשלה -הצעה לתקציב שנתי לשנת 2021</t>
  </si>
  <si>
    <t>מנחם בגין</t>
  </si>
  <si>
    <t>מערכות ביטחון כולל חידוש חוזה ארדן</t>
  </si>
  <si>
    <t>גב אל גב נסיעות, מחלה, הסעדה</t>
  </si>
  <si>
    <t>הוצאות ביטחון - כא (כולל תקורה)</t>
  </si>
  <si>
    <t>הכשרות ושעות נוספות (כולל תקורה)</t>
  </si>
  <si>
    <t>שונות: עבודות נוספות לפי תוכנית קב"ט</t>
  </si>
  <si>
    <t>הערה: נדרש תקצוב בנפרד</t>
  </si>
  <si>
    <t>נדרש תוספת תקציב חידוש חוזה ארדן</t>
  </si>
  <si>
    <t>הערות נוספות</t>
  </si>
  <si>
    <t>נדרש המשך תיקצוב מערכות ארדן עד להחלפת מערכות הבטחון.</t>
  </si>
  <si>
    <t>נדרש תקצוב נוסף לדרישות קב"ט.</t>
  </si>
  <si>
    <t>עלות כ"א אבטחה אינו כולל עלות זקיפים פנים משרדי.</t>
  </si>
  <si>
    <t>גידור / חומה ומערכות טמ"ס - דרישות משטרה לאבטחת המתקן</t>
  </si>
  <si>
    <t>משרד הבריאות - משרד ראשי</t>
  </si>
  <si>
    <t>משרד הבריאות - מחוז ירושלים</t>
  </si>
  <si>
    <t xml:space="preserve">חלוקת הוצאות אחזקה וניקיון בין המשרדים במתחם חפציבה - חישוב עלויות 2021  </t>
  </si>
  <si>
    <t xml:space="preserve">חלוקת הוצאות אחזקה וניקיון בין המשרדים במתחם מעבר עטרות - חישוב עלויות ינואר 2020  </t>
  </si>
  <si>
    <t>החלפת מעליות</t>
  </si>
  <si>
    <t>שיפוץ לובי</t>
  </si>
  <si>
    <t>אומדן</t>
  </si>
  <si>
    <t>פער</t>
  </si>
  <si>
    <t>תקציב 2020</t>
  </si>
  <si>
    <t xml:space="preserve">חלוקת הוצאות אחזקה וניקיון בין המשרדים בניין ג'נרלי - חישוב עלויות 2020  </t>
  </si>
  <si>
    <t>החלפת לוחות חשמל ותיקונם (עפי דוח יועץ חשמל)</t>
  </si>
  <si>
    <t>חלוקת הוצאות אחזקה וניקיון מרכבה - ראשות האוכלוסין משרד ראשי - שנת 2020</t>
  </si>
  <si>
    <t xml:space="preserve">חלוקת הוצאות אחזקה וניקיון בין המשרדים במתחם שייח ג'ראח וממוניה - חישוב עלויות ינואר 2020 </t>
  </si>
  <si>
    <t>לא כולל משמעויות של מכרז ניהול ואחזקה חדש</t>
  </si>
  <si>
    <t>לא כולל משמעויות של הכנסת מכרז אבטחה חדש</t>
  </si>
  <si>
    <t>הוצאות חשמל משותף: הערכה ממוצעת משנה קודמת</t>
  </si>
  <si>
    <t>הוצאות מים: הערכה ממוצעת משנה קודמת</t>
  </si>
  <si>
    <t>עלות 1 מ"ר</t>
  </si>
  <si>
    <t>עלות 1 מ"ר מופחת</t>
  </si>
  <si>
    <t>עלות 17 ₪ ללא מערכת ביטחון</t>
  </si>
  <si>
    <t>הלל</t>
  </si>
  <si>
    <t>ניקיון</t>
  </si>
  <si>
    <t>הערה: המחירים אינם כוללים אחזקת מערכות בטחון, ישור קו כלל שידרש, תחזוקת מערכות אבטחה</t>
  </si>
  <si>
    <t>חלוקת הוצאות אחזקה וניקיון - הלל - שנת 2020</t>
  </si>
  <si>
    <t>אחזקה + אחזקת מערכות</t>
  </si>
  <si>
    <t xml:space="preserve"> קריית הממשלה -הצעה לתקציב לכלל האתרים שנתי לשנת 2021</t>
  </si>
  <si>
    <t>כלל האתרים</t>
  </si>
  <si>
    <t>הלל -משרד השיכון</t>
  </si>
  <si>
    <t>עלות שנתית</t>
  </si>
  <si>
    <t xml:space="preserve">סה"כ כולל דמי ניהול </t>
  </si>
  <si>
    <t>תקציב 12 ₪ ל 1 מ"ר בנכס מדינה לא כולל מע"מ</t>
  </si>
  <si>
    <t>קריית הממשלה מנחם בגין</t>
  </si>
  <si>
    <t>עטרות/מעבר קלנדיה</t>
  </si>
  <si>
    <t>ג'נרלי</t>
  </si>
  <si>
    <t>רשות אוכלוסין משרד ראשי</t>
  </si>
  <si>
    <t>שטח במ"ר</t>
  </si>
  <si>
    <t>עלות ניהול ואחזקה</t>
  </si>
  <si>
    <t>עלות ניקיון, הדברה וגינון</t>
  </si>
  <si>
    <t>עלות בגין הפעלת חדר כושר</t>
  </si>
  <si>
    <t xml:space="preserve">עלות אבטחה כ"א </t>
  </si>
  <si>
    <t>קב"ט וסגן קב"ט</t>
  </si>
  <si>
    <t xml:space="preserve"> דמי ניהול 3.5%</t>
  </si>
  <si>
    <t>סה"כ תקציב אחזקה, ניקיון ואבטחה</t>
  </si>
  <si>
    <t>סה"כ תקציב חשמל ומים המנוהל דרך חברת הניהול</t>
  </si>
  <si>
    <t>תקציב 12 ₪ בנכס מדינה</t>
  </si>
  <si>
    <t>סה"כ כולל מע"מ</t>
  </si>
  <si>
    <t>אומדן שנתי לעלויות ניהול ואחזקה באמצעות חברת הניהול רמות</t>
  </si>
  <si>
    <t>אומדן שחודשי לעלויות ניהול ואחזקה באמצעות חברת הניהול רמות</t>
  </si>
  <si>
    <t>סה"כ לפי מע"מ</t>
  </si>
  <si>
    <t>שונות הצמדות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</si>
</sst>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 * #,##0.000_ ;_ * \-#,##0.000_ ;_ * &quot;-&quot;??_ ;_ @_ "/>
    <numFmt numFmtId="169" formatCode="0.0000"/>
    <numFmt numFmtId="170" formatCode="0.000"/>
    <numFmt numFmtId="171" formatCode="0.0"/>
    <numFmt numFmtId="172" formatCode="0.000%"/>
    <numFmt numFmtId="173" formatCode="#,##0.0"/>
    <numFmt numFmtId="174" formatCode="0.0000000000000%"/>
    <numFmt numFmtId="175" formatCode="_ [$₪-40D]\ * #,##0.00_ ;_ [$₪-40D]\ * \-#,##0.00_ ;_ [$₪-40D]\ * &quot;-&quot;??_ ;_ @_ "/>
  </numFmts>
  <fonts count="35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i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u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sz val="9"/>
      <color theme="1"/>
      <name val="Tahoma"/>
      <family val="2"/>
      <charset val="177"/>
    </font>
    <font>
      <b/>
      <sz val="13"/>
      <color theme="1"/>
      <name val="Tahoma"/>
      <family val="2"/>
      <charset val="177"/>
    </font>
    <font>
      <b/>
      <sz val="10"/>
      <color theme="1"/>
      <name val="Tahoma"/>
      <family val="2"/>
      <charset val="177"/>
    </font>
    <font>
      <sz val="10"/>
      <color theme="1"/>
      <name val="Tahoma"/>
      <family val="2"/>
      <charset val="177"/>
    </font>
    <font>
      <b/>
      <sz val="11"/>
      <name val="Arial"/>
      <family val="2"/>
      <charset val="177"/>
      <scheme val="minor"/>
    </font>
    <font>
      <i/>
      <sz val="11"/>
      <name val="Arial"/>
      <family val="2"/>
      <charset val="177"/>
      <scheme val="minor"/>
    </font>
    <font>
      <sz val="10"/>
      <name val="Arial"/>
      <family val="2"/>
    </font>
    <font>
      <b/>
      <u/>
      <sz val="20"/>
      <name val="David"/>
      <family val="2"/>
      <charset val="177"/>
    </font>
    <font>
      <sz val="14"/>
      <color theme="1"/>
      <name val="David"/>
      <family val="2"/>
      <charset val="177"/>
    </font>
    <font>
      <b/>
      <u/>
      <sz val="14"/>
      <name val="David"/>
      <family val="2"/>
      <charset val="177"/>
    </font>
    <font>
      <b/>
      <sz val="14"/>
      <color theme="1"/>
      <name val="David"/>
      <family val="2"/>
      <charset val="177"/>
    </font>
    <font>
      <b/>
      <sz val="14"/>
      <name val="David"/>
      <family val="2"/>
      <charset val="177"/>
    </font>
    <font>
      <b/>
      <u/>
      <sz val="16"/>
      <name val="David"/>
      <family val="2"/>
      <charset val="177"/>
    </font>
    <font>
      <sz val="14"/>
      <name val="David"/>
      <family val="2"/>
      <charset val="177"/>
    </font>
    <font>
      <sz val="10"/>
      <color theme="1"/>
      <name val="David"/>
      <family val="2"/>
      <charset val="177"/>
    </font>
    <font>
      <b/>
      <sz val="18"/>
      <color theme="1"/>
      <name val="David"/>
      <family val="2"/>
    </font>
    <font>
      <sz val="14"/>
      <color theme="1"/>
      <name val="David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24" fillId="0" borderId="0"/>
  </cellStyleXfs>
  <cellXfs count="430">
    <xf numFmtId="0" fontId="0" fillId="0" borderId="0" xfId="0"/>
    <xf numFmtId="0" fontId="2" fillId="0" borderId="0" xfId="0" applyFont="1"/>
    <xf numFmtId="166" fontId="0" fillId="0" borderId="0" xfId="1" applyNumberFormat="1" applyFont="1"/>
    <xf numFmtId="0" fontId="0" fillId="0" borderId="1" xfId="0" applyBorder="1"/>
    <xf numFmtId="43" fontId="0" fillId="0" borderId="1" xfId="1" applyNumberFormat="1" applyFont="1" applyBorder="1"/>
    <xf numFmtId="166" fontId="0" fillId="0" borderId="1" xfId="1" applyNumberFormat="1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166" fontId="2" fillId="0" borderId="2" xfId="1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0" fontId="6" fillId="2" borderId="2" xfId="0" applyFont="1" applyFill="1" applyBorder="1"/>
    <xf numFmtId="166" fontId="6" fillId="2" borderId="2" xfId="1" applyNumberFormat="1" applyFont="1" applyFill="1" applyBorder="1" applyAlignment="1">
      <alignment horizontal="center" wrapText="1"/>
    </xf>
    <xf numFmtId="166" fontId="6" fillId="2" borderId="2" xfId="1" applyNumberFormat="1" applyFont="1" applyFill="1" applyBorder="1"/>
    <xf numFmtId="166" fontId="0" fillId="0" borderId="2" xfId="1" applyNumberFormat="1" applyFont="1" applyBorder="1"/>
    <xf numFmtId="0" fontId="2" fillId="0" borderId="3" xfId="0" applyFont="1" applyBorder="1"/>
    <xf numFmtId="166" fontId="2" fillId="2" borderId="3" xfId="0" applyNumberFormat="1" applyFont="1" applyFill="1" applyBorder="1"/>
    <xf numFmtId="166" fontId="0" fillId="0" borderId="0" xfId="1" applyNumberFormat="1" applyFont="1" applyFill="1"/>
    <xf numFmtId="0" fontId="0" fillId="0" borderId="4" xfId="0" applyBorder="1"/>
    <xf numFmtId="166" fontId="0" fillId="0" borderId="5" xfId="1" applyNumberFormat="1" applyFont="1" applyBorder="1"/>
    <xf numFmtId="166" fontId="0" fillId="0" borderId="7" xfId="1" applyNumberFormat="1" applyFont="1" applyFill="1" applyBorder="1"/>
    <xf numFmtId="166" fontId="3" fillId="0" borderId="8" xfId="1" applyNumberFormat="1" applyFont="1" applyFill="1" applyBorder="1" applyAlignment="1">
      <alignment horizontal="center" wrapText="1"/>
    </xf>
    <xf numFmtId="166" fontId="4" fillId="0" borderId="8" xfId="1" applyNumberFormat="1" applyFont="1" applyFill="1" applyBorder="1"/>
    <xf numFmtId="166" fontId="5" fillId="0" borderId="8" xfId="1" applyNumberFormat="1" applyFont="1" applyFill="1" applyBorder="1"/>
    <xf numFmtId="166" fontId="0" fillId="0" borderId="8" xfId="1" applyNumberFormat="1" applyFont="1" applyFill="1" applyBorder="1"/>
    <xf numFmtId="166" fontId="3" fillId="0" borderId="8" xfId="1" applyNumberFormat="1" applyFont="1" applyFill="1" applyBorder="1"/>
    <xf numFmtId="166" fontId="3" fillId="0" borderId="9" xfId="0" applyNumberFormat="1" applyFont="1" applyFill="1" applyBorder="1"/>
    <xf numFmtId="166" fontId="8" fillId="4" borderId="0" xfId="1" applyNumberFormat="1" applyFont="1" applyFill="1"/>
    <xf numFmtId="165" fontId="8" fillId="4" borderId="0" xfId="1" applyNumberFormat="1" applyFont="1" applyFill="1"/>
    <xf numFmtId="43" fontId="8" fillId="4" borderId="0" xfId="1" applyNumberFormat="1" applyFont="1" applyFill="1"/>
    <xf numFmtId="0" fontId="6" fillId="2" borderId="2" xfId="0" applyFont="1" applyFill="1" applyBorder="1" applyAlignment="1">
      <alignment horizontal="center"/>
    </xf>
    <xf numFmtId="167" fontId="0" fillId="0" borderId="2" xfId="2" applyNumberFormat="1" applyFont="1" applyBorder="1"/>
    <xf numFmtId="10" fontId="0" fillId="0" borderId="0" xfId="2" applyNumberFormat="1" applyFont="1"/>
    <xf numFmtId="166" fontId="2" fillId="0" borderId="6" xfId="1" applyNumberFormat="1" applyFont="1" applyBorder="1" applyAlignment="1">
      <alignment horizontal="center" wrapText="1"/>
    </xf>
    <xf numFmtId="166" fontId="6" fillId="2" borderId="6" xfId="1" applyNumberFormat="1" applyFont="1" applyFill="1" applyBorder="1" applyAlignment="1">
      <alignment horizontal="center" wrapText="1"/>
    </xf>
    <xf numFmtId="43" fontId="0" fillId="0" borderId="6" xfId="1" applyNumberFormat="1" applyFont="1" applyBorder="1"/>
    <xf numFmtId="166" fontId="0" fillId="0" borderId="0" xfId="1" applyNumberFormat="1" applyFont="1" applyBorder="1"/>
    <xf numFmtId="166" fontId="3" fillId="0" borderId="0" xfId="1" applyNumberFormat="1" applyFont="1" applyBorder="1" applyAlignment="1">
      <alignment horizontal="center" wrapText="1"/>
    </xf>
    <xf numFmtId="166" fontId="4" fillId="2" borderId="0" xfId="1" applyNumberFormat="1" applyFont="1" applyFill="1" applyBorder="1"/>
    <xf numFmtId="166" fontId="5" fillId="0" borderId="0" xfId="1" applyNumberFormat="1" applyFont="1" applyBorder="1"/>
    <xf numFmtId="166" fontId="4" fillId="2" borderId="2" xfId="1" applyNumberFormat="1" applyFont="1" applyFill="1" applyBorder="1"/>
    <xf numFmtId="166" fontId="5" fillId="0" borderId="2" xfId="1" applyNumberFormat="1" applyFont="1" applyBorder="1"/>
    <xf numFmtId="166" fontId="3" fillId="2" borderId="3" xfId="0" applyNumberFormat="1" applyFont="1" applyFill="1" applyBorder="1"/>
    <xf numFmtId="0" fontId="12" fillId="0" borderId="0" xfId="0" applyFont="1"/>
    <xf numFmtId="166" fontId="12" fillId="0" borderId="0" xfId="1" applyNumberFormat="1" applyFont="1"/>
    <xf numFmtId="43" fontId="0" fillId="0" borderId="0" xfId="0" applyNumberFormat="1"/>
    <xf numFmtId="166" fontId="2" fillId="0" borderId="2" xfId="1" applyNumberFormat="1" applyFont="1" applyFill="1" applyBorder="1" applyAlignment="1">
      <alignment horizontal="center" wrapText="1"/>
    </xf>
    <xf numFmtId="0" fontId="0" fillId="0" borderId="0" xfId="0" applyFill="1"/>
    <xf numFmtId="43" fontId="0" fillId="0" borderId="2" xfId="1" applyNumberFormat="1" applyFont="1" applyBorder="1"/>
    <xf numFmtId="43" fontId="0" fillId="0" borderId="6" xfId="1" applyNumberFormat="1" applyFont="1" applyFill="1" applyBorder="1"/>
    <xf numFmtId="43" fontId="2" fillId="2" borderId="3" xfId="0" applyNumberFormat="1" applyFont="1" applyFill="1" applyBorder="1"/>
    <xf numFmtId="43" fontId="0" fillId="0" borderId="2" xfId="1" applyNumberFormat="1" applyFont="1" applyFill="1" applyBorder="1"/>
    <xf numFmtId="166" fontId="0" fillId="4" borderId="1" xfId="1" applyNumberFormat="1" applyFont="1" applyFill="1" applyBorder="1"/>
    <xf numFmtId="166" fontId="13" fillId="0" borderId="4" xfId="1" applyNumberFormat="1" applyFont="1" applyBorder="1"/>
    <xf numFmtId="0" fontId="15" fillId="0" borderId="0" xfId="0" applyFont="1"/>
    <xf numFmtId="0" fontId="16" fillId="0" borderId="0" xfId="0" applyFont="1"/>
    <xf numFmtId="0" fontId="16" fillId="0" borderId="4" xfId="0" applyFont="1" applyBorder="1"/>
    <xf numFmtId="43" fontId="16" fillId="0" borderId="4" xfId="1" applyFont="1" applyBorder="1"/>
    <xf numFmtId="10" fontId="16" fillId="0" borderId="4" xfId="2" applyNumberFormat="1" applyFont="1" applyBorder="1"/>
    <xf numFmtId="10" fontId="16" fillId="0" borderId="4" xfId="0" applyNumberFormat="1" applyFont="1" applyBorder="1"/>
    <xf numFmtId="0" fontId="16" fillId="2" borderId="4" xfId="0" applyFont="1" applyFill="1" applyBorder="1"/>
    <xf numFmtId="9" fontId="16" fillId="0" borderId="4" xfId="0" applyNumberFormat="1" applyFont="1" applyBorder="1"/>
    <xf numFmtId="0" fontId="16" fillId="0" borderId="4" xfId="0" applyFont="1" applyFill="1" applyBorder="1"/>
    <xf numFmtId="9" fontId="17" fillId="0" borderId="4" xfId="0" applyNumberFormat="1" applyFont="1" applyBorder="1"/>
    <xf numFmtId="43" fontId="17" fillId="0" borderId="4" xfId="1" applyFont="1" applyBorder="1"/>
    <xf numFmtId="0" fontId="16" fillId="7" borderId="12" xfId="0" applyFont="1" applyFill="1" applyBorder="1"/>
    <xf numFmtId="0" fontId="2" fillId="7" borderId="0" xfId="0" applyFont="1" applyFill="1"/>
    <xf numFmtId="0" fontId="16" fillId="0" borderId="12" xfId="0" applyFont="1" applyFill="1" applyBorder="1"/>
    <xf numFmtId="0" fontId="16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16" fillId="4" borderId="4" xfId="0" applyFont="1" applyFill="1" applyBorder="1"/>
    <xf numFmtId="43" fontId="16" fillId="4" borderId="4" xfId="1" applyFont="1" applyFill="1" applyBorder="1"/>
    <xf numFmtId="10" fontId="16" fillId="4" borderId="4" xfId="0" applyNumberFormat="1" applyFont="1" applyFill="1" applyBorder="1"/>
    <xf numFmtId="10" fontId="16" fillId="4" borderId="4" xfId="2" applyNumberFormat="1" applyFont="1" applyFill="1" applyBorder="1"/>
    <xf numFmtId="9" fontId="16" fillId="4" borderId="4" xfId="0" applyNumberFormat="1" applyFont="1" applyFill="1" applyBorder="1"/>
    <xf numFmtId="9" fontId="17" fillId="4" borderId="4" xfId="0" applyNumberFormat="1" applyFont="1" applyFill="1" applyBorder="1"/>
    <xf numFmtId="43" fontId="17" fillId="4" borderId="4" xfId="1" applyFont="1" applyFill="1" applyBorder="1"/>
    <xf numFmtId="168" fontId="16" fillId="0" borderId="4" xfId="1" applyNumberFormat="1" applyFont="1" applyBorder="1"/>
    <xf numFmtId="169" fontId="16" fillId="4" borderId="4" xfId="0" applyNumberFormat="1" applyFont="1" applyFill="1" applyBorder="1"/>
    <xf numFmtId="168" fontId="16" fillId="4" borderId="4" xfId="1" applyNumberFormat="1" applyFont="1" applyFill="1" applyBorder="1"/>
    <xf numFmtId="0" fontId="16" fillId="7" borderId="0" xfId="0" applyFont="1" applyFill="1" applyBorder="1"/>
    <xf numFmtId="170" fontId="2" fillId="7" borderId="0" xfId="0" applyNumberFormat="1" applyFont="1" applyFill="1"/>
    <xf numFmtId="168" fontId="2" fillId="7" borderId="0" xfId="0" applyNumberFormat="1" applyFont="1" applyFill="1"/>
    <xf numFmtId="0" fontId="16" fillId="0" borderId="0" xfId="0" applyFont="1" applyFill="1" applyBorder="1"/>
    <xf numFmtId="2" fontId="0" fillId="0" borderId="2" xfId="2" applyNumberFormat="1" applyFont="1" applyBorder="1"/>
    <xf numFmtId="167" fontId="0" fillId="5" borderId="2" xfId="2" applyNumberFormat="1" applyFont="1" applyFill="1" applyBorder="1"/>
    <xf numFmtId="166" fontId="0" fillId="5" borderId="2" xfId="1" applyNumberFormat="1" applyFont="1" applyFill="1" applyBorder="1"/>
    <xf numFmtId="43" fontId="0" fillId="5" borderId="2" xfId="1" applyNumberFormat="1" applyFont="1" applyFill="1" applyBorder="1"/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center"/>
    </xf>
    <xf numFmtId="166" fontId="0" fillId="10" borderId="1" xfId="1" applyNumberFormat="1" applyFont="1" applyFill="1" applyBorder="1"/>
    <xf numFmtId="9" fontId="0" fillId="10" borderId="1" xfId="2" applyFont="1" applyFill="1" applyBorder="1"/>
    <xf numFmtId="9" fontId="0" fillId="4" borderId="1" xfId="2" applyFont="1" applyFill="1" applyBorder="1"/>
    <xf numFmtId="0" fontId="18" fillId="0" borderId="0" xfId="6"/>
    <xf numFmtId="0" fontId="20" fillId="11" borderId="4" xfId="6" applyFont="1" applyFill="1" applyBorder="1" applyAlignment="1">
      <alignment horizontal="center" vertical="center" wrapText="1"/>
    </xf>
    <xf numFmtId="0" fontId="20" fillId="0" borderId="0" xfId="6" applyFont="1" applyAlignment="1">
      <alignment horizontal="right" vertical="center" wrapText="1"/>
    </xf>
    <xf numFmtId="3" fontId="21" fillId="0" borderId="0" xfId="6" applyNumberFormat="1" applyFont="1" applyAlignment="1">
      <alignment vertical="center" wrapText="1"/>
    </xf>
    <xf numFmtId="0" fontId="18" fillId="0" borderId="0" xfId="6" applyAlignment="1"/>
    <xf numFmtId="0" fontId="21" fillId="0" borderId="0" xfId="6" applyFont="1" applyAlignment="1">
      <alignment vertical="center" wrapText="1"/>
    </xf>
    <xf numFmtId="171" fontId="21" fillId="0" borderId="0" xfId="6" applyNumberFormat="1" applyFont="1" applyAlignment="1">
      <alignment vertical="center" wrapText="1"/>
    </xf>
    <xf numFmtId="0" fontId="21" fillId="0" borderId="0" xfId="6" applyFont="1" applyAlignment="1">
      <alignment horizontal="right" vertical="center" wrapText="1" readingOrder="1"/>
    </xf>
    <xf numFmtId="171" fontId="21" fillId="0" borderId="0" xfId="6" applyNumberFormat="1" applyFont="1" applyAlignment="1">
      <alignment horizontal="right" vertical="center" wrapText="1" readingOrder="1"/>
    </xf>
    <xf numFmtId="0" fontId="21" fillId="0" borderId="0" xfId="6" applyFont="1" applyAlignment="1">
      <alignment vertical="center" wrapText="1" readingOrder="1"/>
    </xf>
    <xf numFmtId="171" fontId="21" fillId="0" borderId="0" xfId="6" applyNumberFormat="1" applyFont="1" applyAlignment="1">
      <alignment vertical="center" wrapText="1" readingOrder="1"/>
    </xf>
    <xf numFmtId="0" fontId="18" fillId="6" borderId="0" xfId="6" applyFill="1" applyAlignment="1"/>
    <xf numFmtId="0" fontId="18" fillId="0" borderId="0" xfId="6" applyAlignment="1">
      <alignment horizontal="right"/>
    </xf>
    <xf numFmtId="0" fontId="0" fillId="0" borderId="19" xfId="0" applyBorder="1" applyAlignment="1">
      <alignment horizontal="center" wrapText="1"/>
    </xf>
    <xf numFmtId="17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17" fontId="0" fillId="4" borderId="0" xfId="0" applyNumberFormat="1" applyFill="1" applyAlignment="1">
      <alignment horizontal="right" wrapText="1"/>
    </xf>
    <xf numFmtId="0" fontId="0" fillId="4" borderId="0" xfId="0" applyFill="1" applyAlignment="1">
      <alignment horizontal="center" wrapText="1"/>
    </xf>
    <xf numFmtId="172" fontId="0" fillId="0" borderId="0" xfId="2" applyNumberFormat="1" applyFont="1" applyFill="1"/>
    <xf numFmtId="173" fontId="21" fillId="0" borderId="0" xfId="6" applyNumberFormat="1" applyFont="1" applyAlignment="1">
      <alignment vertical="center" wrapText="1"/>
    </xf>
    <xf numFmtId="170" fontId="0" fillId="8" borderId="1" xfId="0" applyNumberFormat="1" applyFill="1" applyBorder="1"/>
    <xf numFmtId="43" fontId="0" fillId="8" borderId="1" xfId="1" applyNumberFormat="1" applyFont="1" applyFill="1" applyBorder="1"/>
    <xf numFmtId="10" fontId="0" fillId="10" borderId="1" xfId="2" applyNumberFormat="1" applyFont="1" applyFill="1" applyBorder="1"/>
    <xf numFmtId="168" fontId="0" fillId="0" borderId="4" xfId="0" applyNumberFormat="1" applyBorder="1"/>
    <xf numFmtId="174" fontId="0" fillId="0" borderId="0" xfId="0" applyNumberFormat="1" applyAlignment="1">
      <alignment horizontal="center" wrapText="1"/>
    </xf>
    <xf numFmtId="17" fontId="0" fillId="0" borderId="0" xfId="0" applyNumberFormat="1" applyBorder="1" applyAlignment="1">
      <alignment horizontal="center" wrapText="1"/>
    </xf>
    <xf numFmtId="9" fontId="12" fillId="0" borderId="0" xfId="2" applyFont="1"/>
    <xf numFmtId="43" fontId="17" fillId="8" borderId="4" xfId="1" applyFont="1" applyFill="1" applyBorder="1"/>
    <xf numFmtId="43" fontId="16" fillId="8" borderId="4" xfId="1" applyFont="1" applyFill="1" applyBorder="1"/>
    <xf numFmtId="10" fontId="0" fillId="4" borderId="1" xfId="2" applyNumberFormat="1" applyFont="1" applyFill="1" applyBorder="1"/>
    <xf numFmtId="166" fontId="9" fillId="0" borderId="0" xfId="1" applyNumberFormat="1" applyFont="1"/>
    <xf numFmtId="166" fontId="9" fillId="0" borderId="1" xfId="1" applyNumberFormat="1" applyFont="1" applyBorder="1"/>
    <xf numFmtId="166" fontId="22" fillId="0" borderId="2" xfId="1" applyNumberFormat="1" applyFont="1" applyFill="1" applyBorder="1" applyAlignment="1">
      <alignment horizontal="center" wrapText="1"/>
    </xf>
    <xf numFmtId="166" fontId="23" fillId="2" borderId="2" xfId="1" applyNumberFormat="1" applyFont="1" applyFill="1" applyBorder="1"/>
    <xf numFmtId="166" fontId="9" fillId="5" borderId="2" xfId="1" applyNumberFormat="1" applyFont="1" applyFill="1" applyBorder="1"/>
    <xf numFmtId="166" fontId="9" fillId="0" borderId="2" xfId="1" applyNumberFormat="1" applyFont="1" applyBorder="1"/>
    <xf numFmtId="166" fontId="22" fillId="2" borderId="3" xfId="0" applyNumberFormat="1" applyFont="1" applyFill="1" applyBorder="1"/>
    <xf numFmtId="167" fontId="0" fillId="7" borderId="2" xfId="2" applyNumberFormat="1" applyFont="1" applyFill="1" applyBorder="1"/>
    <xf numFmtId="43" fontId="0" fillId="7" borderId="2" xfId="1" applyNumberFormat="1" applyFont="1" applyFill="1" applyBorder="1"/>
    <xf numFmtId="166" fontId="9" fillId="7" borderId="2" xfId="1" applyNumberFormat="1" applyFont="1" applyFill="1" applyBorder="1"/>
    <xf numFmtId="168" fontId="12" fillId="0" borderId="0" xfId="1" applyNumberFormat="1" applyFont="1"/>
    <xf numFmtId="168" fontId="12" fillId="0" borderId="0" xfId="0" applyNumberFormat="1" applyFont="1"/>
    <xf numFmtId="17" fontId="13" fillId="0" borderId="4" xfId="0" applyNumberFormat="1" applyFont="1" applyBorder="1"/>
    <xf numFmtId="0" fontId="13" fillId="0" borderId="4" xfId="0" applyFont="1" applyBorder="1"/>
    <xf numFmtId="166" fontId="12" fillId="8" borderId="4" xfId="1" applyNumberFormat="1" applyFont="1" applyFill="1" applyBorder="1"/>
    <xf numFmtId="168" fontId="12" fillId="8" borderId="4" xfId="1" applyNumberFormat="1" applyFont="1" applyFill="1" applyBorder="1"/>
    <xf numFmtId="168" fontId="12" fillId="8" borderId="4" xfId="0" applyNumberFormat="1" applyFont="1" applyFill="1" applyBorder="1"/>
    <xf numFmtId="10" fontId="12" fillId="8" borderId="4" xfId="2" applyNumberFormat="1" applyFont="1" applyFill="1" applyBorder="1"/>
    <xf numFmtId="166" fontId="12" fillId="4" borderId="4" xfId="1" applyNumberFormat="1" applyFont="1" applyFill="1" applyBorder="1"/>
    <xf numFmtId="10" fontId="12" fillId="4" borderId="4" xfId="2" applyNumberFormat="1" applyFont="1" applyFill="1" applyBorder="1"/>
    <xf numFmtId="166" fontId="12" fillId="9" borderId="4" xfId="1" applyNumberFormat="1" applyFont="1" applyFill="1" applyBorder="1"/>
    <xf numFmtId="168" fontId="12" fillId="9" borderId="4" xfId="1" applyNumberFormat="1" applyFont="1" applyFill="1" applyBorder="1"/>
    <xf numFmtId="168" fontId="12" fillId="9" borderId="4" xfId="0" applyNumberFormat="1" applyFont="1" applyFill="1" applyBorder="1"/>
    <xf numFmtId="10" fontId="12" fillId="9" borderId="4" xfId="2" applyNumberFormat="1" applyFont="1" applyFill="1" applyBorder="1"/>
    <xf numFmtId="10" fontId="0" fillId="8" borderId="1" xfId="2" applyNumberFormat="1" applyFont="1" applyFill="1" applyBorder="1"/>
    <xf numFmtId="166" fontId="12" fillId="4" borderId="4" xfId="0" applyNumberFormat="1" applyFont="1" applyFill="1" applyBorder="1"/>
    <xf numFmtId="0" fontId="26" fillId="0" borderId="0" xfId="0" applyFont="1"/>
    <xf numFmtId="0" fontId="25" fillId="0" borderId="0" xfId="8" applyFont="1" applyAlignment="1">
      <alignment horizontal="center"/>
    </xf>
    <xf numFmtId="0" fontId="28" fillId="0" borderId="20" xfId="0" applyFont="1" applyBorder="1"/>
    <xf numFmtId="0" fontId="26" fillId="0" borderId="0" xfId="0" applyFont="1" applyBorder="1"/>
    <xf numFmtId="0" fontId="26" fillId="0" borderId="4" xfId="0" applyFont="1" applyBorder="1"/>
    <xf numFmtId="0" fontId="26" fillId="0" borderId="0" xfId="0" applyFont="1" applyAlignment="1">
      <alignment horizontal="center"/>
    </xf>
    <xf numFmtId="0" fontId="28" fillId="12" borderId="4" xfId="0" applyFont="1" applyFill="1" applyBorder="1"/>
    <xf numFmtId="0" fontId="28" fillId="0" borderId="4" xfId="0" applyFont="1" applyBorder="1"/>
    <xf numFmtId="0" fontId="26" fillId="0" borderId="10" xfId="0" applyFont="1" applyBorder="1"/>
    <xf numFmtId="0" fontId="28" fillId="0" borderId="0" xfId="0" applyFont="1" applyBorder="1"/>
    <xf numFmtId="10" fontId="28" fillId="0" borderId="0" xfId="0" applyNumberFormat="1" applyFont="1" applyBorder="1"/>
    <xf numFmtId="0" fontId="28" fillId="0" borderId="0" xfId="0" applyFont="1" applyBorder="1" applyAlignment="1">
      <alignment horizontal="center"/>
    </xf>
    <xf numFmtId="9" fontId="28" fillId="0" borderId="4" xfId="0" applyNumberFormat="1" applyFont="1" applyBorder="1"/>
    <xf numFmtId="44" fontId="26" fillId="0" borderId="4" xfId="7" applyFont="1" applyBorder="1"/>
    <xf numFmtId="44" fontId="26" fillId="0" borderId="4" xfId="7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44" fontId="26" fillId="0" borderId="4" xfId="0" applyNumberFormat="1" applyFont="1" applyBorder="1"/>
    <xf numFmtId="3" fontId="26" fillId="0" borderId="0" xfId="0" applyNumberFormat="1" applyFont="1" applyAlignment="1">
      <alignment horizontal="center"/>
    </xf>
    <xf numFmtId="0" fontId="26" fillId="0" borderId="21" xfId="0" applyFont="1" applyBorder="1"/>
    <xf numFmtId="0" fontId="28" fillId="13" borderId="4" xfId="0" applyFont="1" applyFill="1" applyBorder="1" applyAlignment="1"/>
    <xf numFmtId="0" fontId="28" fillId="12" borderId="29" xfId="0" applyFont="1" applyFill="1" applyBorder="1"/>
    <xf numFmtId="0" fontId="29" fillId="0" borderId="22" xfId="8" applyFont="1" applyFill="1" applyBorder="1"/>
    <xf numFmtId="0" fontId="26" fillId="0" borderId="23" xfId="0" applyFont="1" applyBorder="1"/>
    <xf numFmtId="3" fontId="26" fillId="0" borderId="4" xfId="0" applyNumberFormat="1" applyFont="1" applyBorder="1" applyAlignment="1">
      <alignment horizontal="center"/>
    </xf>
    <xf numFmtId="0" fontId="26" fillId="0" borderId="29" xfId="0" applyFont="1" applyBorder="1"/>
    <xf numFmtId="0" fontId="28" fillId="0" borderId="25" xfId="0" applyFont="1" applyBorder="1"/>
    <xf numFmtId="3" fontId="26" fillId="0" borderId="0" xfId="0" applyNumberFormat="1" applyFont="1" applyBorder="1" applyAlignment="1">
      <alignment horizontal="center"/>
    </xf>
    <xf numFmtId="4" fontId="31" fillId="0" borderId="4" xfId="0" applyNumberFormat="1" applyFont="1" applyBorder="1" applyAlignment="1">
      <alignment horizontal="right" vertical="center"/>
    </xf>
    <xf numFmtId="0" fontId="31" fillId="0" borderId="4" xfId="0" applyFont="1" applyFill="1" applyBorder="1" applyAlignment="1">
      <alignment horizontal="right" vertical="center"/>
    </xf>
    <xf numFmtId="10" fontId="28" fillId="0" borderId="27" xfId="0" applyNumberFormat="1" applyFont="1" applyBorder="1"/>
    <xf numFmtId="0" fontId="29" fillId="0" borderId="4" xfId="0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26" fillId="0" borderId="4" xfId="0" applyFont="1" applyFill="1" applyBorder="1"/>
    <xf numFmtId="3" fontId="26" fillId="0" borderId="0" xfId="0" applyNumberFormat="1" applyFont="1"/>
    <xf numFmtId="43" fontId="26" fillId="0" borderId="0" xfId="0" applyNumberFormat="1" applyFont="1"/>
    <xf numFmtId="9" fontId="26" fillId="0" borderId="0" xfId="2" applyFont="1"/>
    <xf numFmtId="10" fontId="26" fillId="0" borderId="0" xfId="2" applyNumberFormat="1" applyFont="1"/>
    <xf numFmtId="0" fontId="26" fillId="0" borderId="0" xfId="0" applyFont="1" applyBorder="1" applyAlignment="1">
      <alignment horizontal="center"/>
    </xf>
    <xf numFmtId="4" fontId="26" fillId="0" borderId="4" xfId="0" applyNumberFormat="1" applyFont="1" applyBorder="1"/>
    <xf numFmtId="2" fontId="26" fillId="0" borderId="4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32" fillId="0" borderId="4" xfId="0" applyFont="1" applyBorder="1" applyAlignment="1">
      <alignment horizontal="center" wrapText="1"/>
    </xf>
    <xf numFmtId="0" fontId="28" fillId="0" borderId="26" xfId="0" applyFont="1" applyBorder="1"/>
    <xf numFmtId="9" fontId="28" fillId="0" borderId="26" xfId="0" applyNumberFormat="1" applyFont="1" applyBorder="1"/>
    <xf numFmtId="0" fontId="28" fillId="0" borderId="28" xfId="0" applyFont="1" applyBorder="1" applyAlignment="1">
      <alignment horizontal="center"/>
    </xf>
    <xf numFmtId="44" fontId="26" fillId="0" borderId="30" xfId="7" applyFont="1" applyBorder="1" applyAlignment="1">
      <alignment horizontal="center"/>
    </xf>
    <xf numFmtId="44" fontId="29" fillId="4" borderId="4" xfId="7" applyFont="1" applyFill="1" applyBorder="1" applyAlignment="1">
      <alignment horizontal="center"/>
    </xf>
    <xf numFmtId="44" fontId="28" fillId="4" borderId="4" xfId="7" applyFont="1" applyFill="1" applyBorder="1" applyAlignment="1">
      <alignment horizontal="center"/>
    </xf>
    <xf numFmtId="44" fontId="29" fillId="0" borderId="4" xfId="7" applyFont="1" applyFill="1" applyBorder="1" applyAlignment="1">
      <alignment horizontal="center"/>
    </xf>
    <xf numFmtId="44" fontId="26" fillId="0" borderId="29" xfId="7" applyFont="1" applyBorder="1"/>
    <xf numFmtId="44" fontId="31" fillId="0" borderId="4" xfId="7" applyFont="1" applyFill="1" applyBorder="1" applyAlignment="1">
      <alignment horizontal="center"/>
    </xf>
    <xf numFmtId="44" fontId="26" fillId="0" borderId="0" xfId="0" applyNumberFormat="1" applyFont="1"/>
    <xf numFmtId="0" fontId="0" fillId="8" borderId="1" xfId="0" applyFill="1" applyBorder="1"/>
    <xf numFmtId="0" fontId="0" fillId="10" borderId="1" xfId="0" applyFill="1" applyBorder="1"/>
    <xf numFmtId="10" fontId="0" fillId="10" borderId="5" xfId="2" applyNumberFormat="1" applyFont="1" applyFill="1" applyBorder="1"/>
    <xf numFmtId="166" fontId="0" fillId="4" borderId="7" xfId="1" applyNumberFormat="1" applyFont="1" applyFill="1" applyBorder="1"/>
    <xf numFmtId="9" fontId="0" fillId="4" borderId="32" xfId="2" applyFont="1" applyFill="1" applyBorder="1"/>
    <xf numFmtId="166" fontId="2" fillId="0" borderId="33" xfId="1" applyNumberFormat="1" applyFont="1" applyBorder="1" applyAlignment="1">
      <alignment horizontal="center" wrapText="1"/>
    </xf>
    <xf numFmtId="166" fontId="2" fillId="0" borderId="34" xfId="1" applyNumberFormat="1" applyFont="1" applyBorder="1" applyAlignment="1">
      <alignment horizontal="center" wrapText="1"/>
    </xf>
    <xf numFmtId="166" fontId="2" fillId="0" borderId="35" xfId="1" applyNumberFormat="1" applyFont="1" applyFill="1" applyBorder="1" applyAlignment="1">
      <alignment horizontal="center" wrapText="1"/>
    </xf>
    <xf numFmtId="166" fontId="6" fillId="2" borderId="6" xfId="1" applyNumberFormat="1" applyFont="1" applyFill="1" applyBorder="1"/>
    <xf numFmtId="166" fontId="6" fillId="2" borderId="33" xfId="1" applyNumberFormat="1" applyFont="1" applyFill="1" applyBorder="1"/>
    <xf numFmtId="166" fontId="6" fillId="2" borderId="34" xfId="1" applyNumberFormat="1" applyFont="1" applyFill="1" applyBorder="1"/>
    <xf numFmtId="166" fontId="0" fillId="5" borderId="6" xfId="1" applyNumberFormat="1" applyFont="1" applyFill="1" applyBorder="1"/>
    <xf numFmtId="166" fontId="0" fillId="5" borderId="33" xfId="1" applyNumberFormat="1" applyFont="1" applyFill="1" applyBorder="1"/>
    <xf numFmtId="166" fontId="0" fillId="5" borderId="34" xfId="1" applyNumberFormat="1" applyFont="1" applyFill="1" applyBorder="1"/>
    <xf numFmtId="166" fontId="0" fillId="0" borderId="0" xfId="0" applyNumberFormat="1"/>
    <xf numFmtId="43" fontId="2" fillId="2" borderId="36" xfId="0" applyNumberFormat="1" applyFont="1" applyFill="1" applyBorder="1"/>
    <xf numFmtId="43" fontId="2" fillId="2" borderId="37" xfId="0" applyNumberFormat="1" applyFont="1" applyFill="1" applyBorder="1"/>
    <xf numFmtId="43" fontId="2" fillId="2" borderId="38" xfId="0" applyNumberFormat="1" applyFont="1" applyFill="1" applyBorder="1"/>
    <xf numFmtId="164" fontId="26" fillId="0" borderId="0" xfId="0" applyNumberFormat="1" applyFont="1"/>
    <xf numFmtId="0" fontId="25" fillId="0" borderId="0" xfId="8" applyFont="1" applyAlignment="1">
      <alignment horizontal="center"/>
    </xf>
    <xf numFmtId="0" fontId="25" fillId="0" borderId="0" xfId="8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166" fontId="2" fillId="4" borderId="2" xfId="1" applyNumberFormat="1" applyFont="1" applyFill="1" applyBorder="1" applyAlignment="1">
      <alignment horizontal="center" wrapText="1"/>
    </xf>
    <xf numFmtId="166" fontId="22" fillId="0" borderId="2" xfId="1" applyNumberFormat="1" applyFont="1" applyBorder="1" applyAlignment="1">
      <alignment horizontal="center" wrapText="1"/>
    </xf>
    <xf numFmtId="166" fontId="2" fillId="0" borderId="35" xfId="1" applyNumberFormat="1" applyFont="1" applyBorder="1" applyAlignment="1">
      <alignment horizontal="center" wrapText="1"/>
    </xf>
    <xf numFmtId="43" fontId="0" fillId="5" borderId="2" xfId="1" applyFont="1" applyFill="1" applyBorder="1"/>
    <xf numFmtId="43" fontId="0" fillId="5" borderId="6" xfId="1" applyFont="1" applyFill="1" applyBorder="1"/>
    <xf numFmtId="43" fontId="0" fillId="5" borderId="33" xfId="1" applyFont="1" applyFill="1" applyBorder="1"/>
    <xf numFmtId="43" fontId="0" fillId="5" borderId="34" xfId="1" applyFont="1" applyFill="1" applyBorder="1"/>
    <xf numFmtId="164" fontId="0" fillId="0" borderId="0" xfId="0" applyNumberFormat="1"/>
    <xf numFmtId="43" fontId="0" fillId="0" borderId="2" xfId="1" applyFont="1" applyBorder="1"/>
    <xf numFmtId="43" fontId="0" fillId="0" borderId="6" xfId="1" applyFont="1" applyBorder="1"/>
    <xf numFmtId="43" fontId="0" fillId="0" borderId="33" xfId="1" applyFont="1" applyBorder="1"/>
    <xf numFmtId="43" fontId="0" fillId="0" borderId="34" xfId="1" applyFont="1" applyBorder="1"/>
    <xf numFmtId="43" fontId="0" fillId="7" borderId="2" xfId="1" applyFont="1" applyFill="1" applyBorder="1"/>
    <xf numFmtId="43" fontId="0" fillId="7" borderId="6" xfId="1" applyFont="1" applyFill="1" applyBorder="1"/>
    <xf numFmtId="43" fontId="0" fillId="7" borderId="33" xfId="1" applyFont="1" applyFill="1" applyBorder="1"/>
    <xf numFmtId="43" fontId="0" fillId="7" borderId="34" xfId="1" applyFont="1" applyFill="1" applyBorder="1"/>
    <xf numFmtId="167" fontId="0" fillId="4" borderId="2" xfId="2" applyNumberFormat="1" applyFont="1" applyFill="1" applyBorder="1"/>
    <xf numFmtId="43" fontId="0" fillId="4" borderId="2" xfId="1" applyFont="1" applyFill="1" applyBorder="1"/>
    <xf numFmtId="43" fontId="0" fillId="4" borderId="6" xfId="1" applyFont="1" applyFill="1" applyBorder="1"/>
    <xf numFmtId="43" fontId="0" fillId="4" borderId="33" xfId="1" applyFont="1" applyFill="1" applyBorder="1"/>
    <xf numFmtId="43" fontId="0" fillId="4" borderId="34" xfId="1" applyFont="1" applyFill="1" applyBorder="1"/>
    <xf numFmtId="166" fontId="9" fillId="4" borderId="2" xfId="1" applyNumberFormat="1" applyFont="1" applyFill="1" applyBorder="1"/>
    <xf numFmtId="43" fontId="0" fillId="4" borderId="0" xfId="0" applyNumberFormat="1" applyFill="1"/>
    <xf numFmtId="43" fontId="8" fillId="4" borderId="0" xfId="1" applyFont="1" applyFill="1"/>
    <xf numFmtId="175" fontId="26" fillId="0" borderId="4" xfId="0" applyNumberFormat="1" applyFont="1" applyBorder="1" applyAlignment="1">
      <alignment horizontal="center"/>
    </xf>
    <xf numFmtId="0" fontId="26" fillId="0" borderId="20" xfId="0" applyFont="1" applyBorder="1"/>
    <xf numFmtId="0" fontId="26" fillId="0" borderId="47" xfId="0" applyFont="1" applyBorder="1"/>
    <xf numFmtId="0" fontId="26" fillId="0" borderId="22" xfId="0" applyFont="1" applyBorder="1"/>
    <xf numFmtId="0" fontId="26" fillId="0" borderId="48" xfId="0" applyFont="1" applyBorder="1" applyAlignment="1">
      <alignment horizontal="center"/>
    </xf>
    <xf numFmtId="175" fontId="26" fillId="0" borderId="48" xfId="0" applyNumberFormat="1" applyFont="1" applyBorder="1"/>
    <xf numFmtId="175" fontId="26" fillId="0" borderId="23" xfId="0" applyNumberFormat="1" applyFont="1" applyBorder="1" applyAlignment="1">
      <alignment horizontal="center"/>
    </xf>
    <xf numFmtId="0" fontId="26" fillId="0" borderId="49" xfId="0" applyFont="1" applyBorder="1"/>
    <xf numFmtId="175" fontId="26" fillId="0" borderId="50" xfId="0" applyNumberFormat="1" applyFont="1" applyBorder="1" applyAlignment="1">
      <alignment horizontal="center"/>
    </xf>
    <xf numFmtId="175" fontId="26" fillId="0" borderId="48" xfId="0" applyNumberFormat="1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175" fontId="26" fillId="0" borderId="51" xfId="0" applyNumberFormat="1" applyFont="1" applyBorder="1" applyAlignment="1">
      <alignment horizontal="center"/>
    </xf>
    <xf numFmtId="0" fontId="26" fillId="0" borderId="28" xfId="0" applyFont="1" applyBorder="1"/>
    <xf numFmtId="43" fontId="9" fillId="5" borderId="2" xfId="1" applyFont="1" applyFill="1" applyBorder="1"/>
    <xf numFmtId="43" fontId="9" fillId="0" borderId="2" xfId="1" applyFont="1" applyBorder="1"/>
    <xf numFmtId="43" fontId="9" fillId="7" borderId="2" xfId="1" applyFont="1" applyFill="1" applyBorder="1"/>
    <xf numFmtId="0" fontId="25" fillId="0" borderId="0" xfId="8" applyFont="1" applyAlignment="1">
      <alignment horizontal="center"/>
    </xf>
    <xf numFmtId="0" fontId="0" fillId="0" borderId="0" xfId="0"/>
    <xf numFmtId="0" fontId="31" fillId="14" borderId="4" xfId="0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/>
    </xf>
    <xf numFmtId="166" fontId="0" fillId="15" borderId="2" xfId="1" applyNumberFormat="1" applyFont="1" applyFill="1" applyBorder="1"/>
    <xf numFmtId="43" fontId="9" fillId="15" borderId="2" xfId="1" applyFont="1" applyFill="1" applyBorder="1"/>
    <xf numFmtId="43" fontId="0" fillId="15" borderId="2" xfId="1" applyFont="1" applyFill="1" applyBorder="1"/>
    <xf numFmtId="166" fontId="0" fillId="4" borderId="2" xfId="1" applyNumberFormat="1" applyFont="1" applyFill="1" applyBorder="1"/>
    <xf numFmtId="44" fontId="26" fillId="0" borderId="48" xfId="0" applyNumberFormat="1" applyFont="1" applyBorder="1" applyAlignment="1">
      <alignment horizontal="center"/>
    </xf>
    <xf numFmtId="0" fontId="26" fillId="0" borderId="52" xfId="0" applyFont="1" applyBorder="1"/>
    <xf numFmtId="0" fontId="26" fillId="0" borderId="51" xfId="0" applyFont="1" applyBorder="1"/>
    <xf numFmtId="43" fontId="0" fillId="0" borderId="34" xfId="1" applyFont="1" applyFill="1" applyBorder="1"/>
    <xf numFmtId="43" fontId="0" fillId="0" borderId="6" xfId="1" applyFont="1" applyFill="1" applyBorder="1"/>
    <xf numFmtId="0" fontId="0" fillId="0" borderId="0" xfId="0"/>
    <xf numFmtId="44" fontId="26" fillId="0" borderId="11" xfId="0" applyNumberFormat="1" applyFont="1" applyBorder="1" applyAlignment="1"/>
    <xf numFmtId="44" fontId="26" fillId="0" borderId="11" xfId="7" applyFont="1" applyBorder="1" applyAlignment="1"/>
    <xf numFmtId="0" fontId="26" fillId="14" borderId="0" xfId="0" applyFont="1" applyFill="1"/>
    <xf numFmtId="164" fontId="0" fillId="0" borderId="2" xfId="1" applyNumberFormat="1" applyFont="1" applyFill="1" applyBorder="1"/>
    <xf numFmtId="44" fontId="26" fillId="0" borderId="0" xfId="0" applyNumberFormat="1" applyFont="1" applyBorder="1" applyAlignment="1">
      <alignment horizontal="center"/>
    </xf>
    <xf numFmtId="175" fontId="26" fillId="0" borderId="0" xfId="0" applyNumberFormat="1" applyFont="1" applyBorder="1"/>
    <xf numFmtId="175" fontId="26" fillId="0" borderId="0" xfId="0" applyNumberFormat="1" applyFont="1" applyBorder="1" applyAlignment="1">
      <alignment horizontal="center"/>
    </xf>
    <xf numFmtId="0" fontId="28" fillId="6" borderId="4" xfId="0" applyFont="1" applyFill="1" applyBorder="1"/>
    <xf numFmtId="44" fontId="26" fillId="6" borderId="4" xfId="7" applyFont="1" applyFill="1" applyBorder="1"/>
    <xf numFmtId="0" fontId="25" fillId="0" borderId="0" xfId="8" applyFont="1" applyAlignment="1">
      <alignment horizontal="center"/>
    </xf>
    <xf numFmtId="0" fontId="0" fillId="0" borderId="0" xfId="0"/>
    <xf numFmtId="2" fontId="0" fillId="0" borderId="1" xfId="0" applyNumberFormat="1" applyBorder="1"/>
    <xf numFmtId="0" fontId="25" fillId="0" borderId="0" xfId="8" applyFont="1" applyAlignment="1">
      <alignment horizontal="center"/>
    </xf>
    <xf numFmtId="44" fontId="26" fillId="0" borderId="0" xfId="7" applyFont="1" applyBorder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26" fillId="0" borderId="0" xfId="0" applyFont="1" applyFill="1" applyBorder="1"/>
    <xf numFmtId="44" fontId="26" fillId="0" borderId="4" xfId="7" applyFont="1" applyFill="1" applyBorder="1" applyAlignment="1">
      <alignment horizontal="center"/>
    </xf>
    <xf numFmtId="44" fontId="26" fillId="0" borderId="4" xfId="7" applyFont="1" applyFill="1" applyBorder="1"/>
    <xf numFmtId="0" fontId="26" fillId="0" borderId="0" xfId="0" applyFont="1" applyFill="1" applyBorder="1" applyAlignment="1">
      <alignment horizontal="center"/>
    </xf>
    <xf numFmtId="175" fontId="26" fillId="0" borderId="0" xfId="0" applyNumberFormat="1" applyFont="1" applyFill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44" fontId="26" fillId="16" borderId="4" xfId="7" applyFont="1" applyFill="1" applyBorder="1" applyAlignment="1">
      <alignment horizontal="center"/>
    </xf>
    <xf numFmtId="164" fontId="26" fillId="16" borderId="4" xfId="0" applyNumberFormat="1" applyFont="1" applyFill="1" applyBorder="1" applyAlignment="1">
      <alignment horizontal="center"/>
    </xf>
    <xf numFmtId="164" fontId="26" fillId="0" borderId="0" xfId="0" applyNumberFormat="1" applyFont="1" applyBorder="1" applyAlignment="1">
      <alignment horizontal="center"/>
    </xf>
    <xf numFmtId="0" fontId="28" fillId="6" borderId="24" xfId="0" applyFont="1" applyFill="1" applyBorder="1"/>
    <xf numFmtId="0" fontId="28" fillId="0" borderId="24" xfId="0" applyFont="1" applyBorder="1"/>
    <xf numFmtId="0" fontId="28" fillId="16" borderId="25" xfId="0" applyFont="1" applyFill="1" applyBorder="1"/>
    <xf numFmtId="10" fontId="28" fillId="16" borderId="30" xfId="0" applyNumberFormat="1" applyFont="1" applyFill="1" applyBorder="1"/>
    <xf numFmtId="4" fontId="26" fillId="16" borderId="4" xfId="0" applyNumberFormat="1" applyFont="1" applyFill="1" applyBorder="1"/>
    <xf numFmtId="2" fontId="26" fillId="16" borderId="4" xfId="0" applyNumberFormat="1" applyFont="1" applyFill="1" applyBorder="1" applyAlignment="1">
      <alignment horizontal="center"/>
    </xf>
    <xf numFmtId="164" fontId="26" fillId="16" borderId="0" xfId="0" applyNumberFormat="1" applyFont="1" applyFill="1" applyBorder="1" applyAlignment="1">
      <alignment horizontal="center"/>
    </xf>
    <xf numFmtId="0" fontId="28" fillId="16" borderId="4" xfId="0" applyFont="1" applyFill="1" applyBorder="1"/>
    <xf numFmtId="0" fontId="26" fillId="16" borderId="4" xfId="0" applyFont="1" applyFill="1" applyBorder="1"/>
    <xf numFmtId="0" fontId="28" fillId="12" borderId="4" xfId="0" applyFont="1" applyFill="1" applyBorder="1" applyAlignment="1">
      <alignment horizontal="center" wrapText="1"/>
    </xf>
    <xf numFmtId="164" fontId="26" fillId="0" borderId="0" xfId="0" applyNumberFormat="1" applyFont="1" applyBorder="1"/>
    <xf numFmtId="9" fontId="26" fillId="0" borderId="0" xfId="2" applyFont="1" applyBorder="1"/>
    <xf numFmtId="0" fontId="34" fillId="0" borderId="4" xfId="0" applyFont="1" applyBorder="1"/>
    <xf numFmtId="0" fontId="28" fillId="16" borderId="4" xfId="0" applyFont="1" applyFill="1" applyBorder="1" applyAlignment="1">
      <alignment horizontal="right"/>
    </xf>
    <xf numFmtId="0" fontId="28" fillId="17" borderId="4" xfId="0" applyFont="1" applyFill="1" applyBorder="1" applyAlignment="1">
      <alignment horizontal="right"/>
    </xf>
    <xf numFmtId="44" fontId="26" fillId="17" borderId="4" xfId="7" applyFont="1" applyFill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43" fontId="0" fillId="5" borderId="13" xfId="1" applyNumberFormat="1" applyFont="1" applyFill="1" applyBorder="1" applyAlignment="1">
      <alignment horizontal="center" vertical="center"/>
    </xf>
    <xf numFmtId="43" fontId="0" fillId="5" borderId="18" xfId="1" applyNumberFormat="1" applyFont="1" applyFill="1" applyBorder="1" applyAlignment="1">
      <alignment horizontal="center" vertical="center"/>
    </xf>
    <xf numFmtId="43" fontId="0" fillId="5" borderId="14" xfId="1" applyNumberFormat="1" applyFont="1" applyFill="1" applyBorder="1" applyAlignment="1">
      <alignment horizontal="center" vertical="center"/>
    </xf>
    <xf numFmtId="167" fontId="0" fillId="5" borderId="13" xfId="2" applyNumberFormat="1" applyFont="1" applyFill="1" applyBorder="1" applyAlignment="1">
      <alignment horizontal="center" vertical="center"/>
    </xf>
    <xf numFmtId="167" fontId="0" fillId="5" borderId="18" xfId="2" applyNumberFormat="1" applyFont="1" applyFill="1" applyBorder="1" applyAlignment="1">
      <alignment horizontal="center" vertical="center"/>
    </xf>
    <xf numFmtId="167" fontId="0" fillId="5" borderId="14" xfId="2" applyNumberFormat="1" applyFont="1" applyFill="1" applyBorder="1" applyAlignment="1">
      <alignment horizontal="center" vertical="center"/>
    </xf>
    <xf numFmtId="2" fontId="0" fillId="5" borderId="13" xfId="2" applyNumberFormat="1" applyFont="1" applyFill="1" applyBorder="1" applyAlignment="1">
      <alignment horizontal="center" vertical="center"/>
    </xf>
    <xf numFmtId="2" fontId="0" fillId="5" borderId="18" xfId="2" applyNumberFormat="1" applyFont="1" applyFill="1" applyBorder="1" applyAlignment="1">
      <alignment horizontal="center" vertical="center"/>
    </xf>
    <xf numFmtId="2" fontId="0" fillId="5" borderId="14" xfId="2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3" fontId="0" fillId="0" borderId="13" xfId="1" applyNumberFormat="1" applyFont="1" applyBorder="1" applyAlignment="1">
      <alignment horizontal="center" vertical="center"/>
    </xf>
    <xf numFmtId="43" fontId="0" fillId="0" borderId="18" xfId="1" applyNumberFormat="1" applyFont="1" applyBorder="1" applyAlignment="1">
      <alignment horizontal="center" vertical="center"/>
    </xf>
    <xf numFmtId="43" fontId="0" fillId="0" borderId="14" xfId="1" applyNumberFormat="1" applyFont="1" applyBorder="1" applyAlignment="1">
      <alignment horizontal="center" vertical="center"/>
    </xf>
    <xf numFmtId="167" fontId="0" fillId="0" borderId="13" xfId="2" applyNumberFormat="1" applyFont="1" applyBorder="1" applyAlignment="1">
      <alignment horizontal="center" vertical="center"/>
    </xf>
    <xf numFmtId="167" fontId="0" fillId="0" borderId="18" xfId="2" applyNumberFormat="1" applyFont="1" applyBorder="1" applyAlignment="1">
      <alignment horizontal="center" vertical="center"/>
    </xf>
    <xf numFmtId="167" fontId="0" fillId="0" borderId="14" xfId="2" applyNumberFormat="1" applyFont="1" applyBorder="1" applyAlignment="1">
      <alignment horizontal="center" vertical="center"/>
    </xf>
    <xf numFmtId="2" fontId="0" fillId="0" borderId="13" xfId="2" applyNumberFormat="1" applyFont="1" applyBorder="1" applyAlignment="1">
      <alignment horizontal="center" vertical="center"/>
    </xf>
    <xf numFmtId="2" fontId="0" fillId="0" borderId="18" xfId="2" applyNumberFormat="1" applyFont="1" applyBorder="1" applyAlignment="1">
      <alignment horizontal="center" vertical="center"/>
    </xf>
    <xf numFmtId="2" fontId="0" fillId="0" borderId="14" xfId="2" applyNumberFormat="1" applyFont="1" applyBorder="1" applyAlignment="1">
      <alignment horizontal="center" vertical="center"/>
    </xf>
    <xf numFmtId="0" fontId="0" fillId="0" borderId="13" xfId="2" applyNumberFormat="1" applyFont="1" applyBorder="1" applyAlignment="1">
      <alignment horizontal="center" vertical="center"/>
    </xf>
    <xf numFmtId="0" fontId="0" fillId="0" borderId="18" xfId="2" applyNumberFormat="1" applyFont="1" applyBorder="1" applyAlignment="1">
      <alignment horizontal="center" vertical="center"/>
    </xf>
    <xf numFmtId="0" fontId="0" fillId="0" borderId="14" xfId="2" applyNumberFormat="1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3" xfId="2" applyNumberFormat="1" applyFont="1" applyFill="1" applyBorder="1" applyAlignment="1">
      <alignment horizontal="center" vertical="center"/>
    </xf>
    <xf numFmtId="0" fontId="0" fillId="5" borderId="18" xfId="2" applyNumberFormat="1" applyFont="1" applyFill="1" applyBorder="1" applyAlignment="1">
      <alignment horizontal="center" vertical="center"/>
    </xf>
    <xf numFmtId="0" fontId="0" fillId="5" borderId="14" xfId="2" applyNumberFormat="1" applyFont="1" applyFill="1" applyBorder="1" applyAlignment="1">
      <alignment horizontal="center" vertical="center"/>
    </xf>
    <xf numFmtId="0" fontId="33" fillId="0" borderId="40" xfId="0" applyFont="1" applyBorder="1" applyAlignment="1">
      <alignment horizontal="right" vertical="center"/>
    </xf>
    <xf numFmtId="0" fontId="33" fillId="0" borderId="41" xfId="0" applyFont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33" fillId="0" borderId="43" xfId="0" applyFont="1" applyBorder="1" applyAlignment="1">
      <alignment horizontal="right" vertical="center"/>
    </xf>
    <xf numFmtId="0" fontId="33" fillId="0" borderId="45" xfId="0" applyFont="1" applyBorder="1" applyAlignment="1">
      <alignment horizontal="right" vertical="center"/>
    </xf>
    <xf numFmtId="0" fontId="33" fillId="0" borderId="46" xfId="0" applyFont="1" applyBorder="1" applyAlignment="1">
      <alignment horizontal="right" vertical="center"/>
    </xf>
    <xf numFmtId="0" fontId="25" fillId="0" borderId="0" xfId="8" applyFont="1" applyAlignment="1">
      <alignment horizontal="center"/>
    </xf>
    <xf numFmtId="0" fontId="28" fillId="16" borderId="4" xfId="0" applyFont="1" applyFill="1" applyBorder="1" applyAlignment="1">
      <alignment horizontal="center"/>
    </xf>
    <xf numFmtId="44" fontId="26" fillId="0" borderId="11" xfId="7" applyFont="1" applyBorder="1" applyAlignment="1">
      <alignment horizontal="center"/>
    </xf>
    <xf numFmtId="44" fontId="26" fillId="0" borderId="12" xfId="7" applyFont="1" applyBorder="1" applyAlignment="1">
      <alignment horizontal="center"/>
    </xf>
    <xf numFmtId="44" fontId="26" fillId="0" borderId="10" xfId="7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33" fillId="0" borderId="39" xfId="0" applyFont="1" applyBorder="1" applyAlignment="1">
      <alignment horizontal="right" vertical="center"/>
    </xf>
    <xf numFmtId="0" fontId="33" fillId="0" borderId="42" xfId="0" applyFont="1" applyBorder="1" applyAlignment="1">
      <alignment horizontal="right" vertical="center"/>
    </xf>
    <xf numFmtId="0" fontId="33" fillId="0" borderId="44" xfId="0" applyFont="1" applyBorder="1" applyAlignment="1">
      <alignment horizontal="right" vertical="center"/>
    </xf>
    <xf numFmtId="44" fontId="26" fillId="0" borderId="11" xfId="7" applyFont="1" applyBorder="1" applyAlignment="1">
      <alignment vertical="center"/>
    </xf>
    <xf numFmtId="44" fontId="26" fillId="0" borderId="12" xfId="7" applyFont="1" applyBorder="1" applyAlignment="1">
      <alignment vertical="center"/>
    </xf>
    <xf numFmtId="44" fontId="26" fillId="0" borderId="10" xfId="7" applyFont="1" applyBorder="1" applyAlignment="1">
      <alignment vertical="center"/>
    </xf>
    <xf numFmtId="0" fontId="26" fillId="0" borderId="4" xfId="0" applyFont="1" applyBorder="1" applyAlignment="1">
      <alignment horizontal="center" vertical="center"/>
    </xf>
    <xf numFmtId="0" fontId="30" fillId="0" borderId="0" xfId="8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8" applyFont="1" applyAlignment="1">
      <alignment horizontal="center"/>
    </xf>
    <xf numFmtId="44" fontId="26" fillId="0" borderId="11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44" fontId="29" fillId="0" borderId="11" xfId="7" applyFont="1" applyFill="1" applyBorder="1" applyAlignment="1">
      <alignment horizontal="center"/>
    </xf>
    <xf numFmtId="44" fontId="29" fillId="0" borderId="12" xfId="7" applyFont="1" applyFill="1" applyBorder="1" applyAlignment="1">
      <alignment horizontal="center"/>
    </xf>
    <xf numFmtId="44" fontId="29" fillId="0" borderId="10" xfId="7" applyFont="1" applyFill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43" fontId="0" fillId="0" borderId="13" xfId="1" applyFont="1" applyBorder="1" applyAlignment="1">
      <alignment horizontal="center" vertical="center" wrapText="1"/>
    </xf>
    <xf numFmtId="43" fontId="0" fillId="0" borderId="18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 wrapText="1"/>
    </xf>
    <xf numFmtId="43" fontId="0" fillId="0" borderId="13" xfId="1" applyFont="1" applyBorder="1" applyAlignment="1">
      <alignment horizontal="center" vertical="center"/>
    </xf>
    <xf numFmtId="43" fontId="0" fillId="0" borderId="18" xfId="1" applyFont="1" applyBorder="1" applyAlignment="1">
      <alignment horizontal="center" vertical="center"/>
    </xf>
    <xf numFmtId="43" fontId="0" fillId="0" borderId="14" xfId="1" applyFont="1" applyBorder="1" applyAlignment="1">
      <alignment horizontal="center" vertical="center"/>
    </xf>
    <xf numFmtId="10" fontId="0" fillId="0" borderId="13" xfId="2" applyNumberFormat="1" applyFont="1" applyBorder="1" applyAlignment="1">
      <alignment horizontal="center" vertical="center"/>
    </xf>
    <xf numFmtId="10" fontId="0" fillId="0" borderId="18" xfId="2" applyNumberFormat="1" applyFont="1" applyBorder="1" applyAlignment="1">
      <alignment horizontal="center" vertical="center"/>
    </xf>
    <xf numFmtId="10" fontId="0" fillId="0" borderId="14" xfId="2" applyNumberFormat="1" applyFont="1" applyBorder="1" applyAlignment="1">
      <alignment horizontal="center" vertical="center"/>
    </xf>
    <xf numFmtId="0" fontId="26" fillId="4" borderId="7" xfId="0" applyFont="1" applyFill="1" applyBorder="1" applyAlignment="1">
      <alignment horizontal="center" wrapText="1"/>
    </xf>
    <xf numFmtId="0" fontId="26" fillId="4" borderId="8" xfId="0" applyFont="1" applyFill="1" applyBorder="1" applyAlignment="1">
      <alignment horizontal="center" wrapText="1"/>
    </xf>
    <xf numFmtId="0" fontId="26" fillId="4" borderId="9" xfId="0" applyFont="1" applyFill="1" applyBorder="1" applyAlignment="1">
      <alignment horizontal="center" wrapText="1"/>
    </xf>
    <xf numFmtId="43" fontId="0" fillId="5" borderId="13" xfId="1" applyFont="1" applyFill="1" applyBorder="1" applyAlignment="1">
      <alignment horizontal="center" vertical="center"/>
    </xf>
    <xf numFmtId="43" fontId="0" fillId="5" borderId="18" xfId="1" applyFont="1" applyFill="1" applyBorder="1" applyAlignment="1">
      <alignment horizontal="center" vertical="center"/>
    </xf>
    <xf numFmtId="43" fontId="0" fillId="5" borderId="14" xfId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0" fillId="0" borderId="13" xfId="1" applyFont="1" applyFill="1" applyBorder="1" applyAlignment="1">
      <alignment horizontal="center" vertical="center"/>
    </xf>
    <xf numFmtId="43" fontId="0" fillId="0" borderId="18" xfId="1" applyFont="1" applyFill="1" applyBorder="1" applyAlignment="1">
      <alignment horizontal="center" vertical="center"/>
    </xf>
    <xf numFmtId="43" fontId="0" fillId="0" borderId="14" xfId="1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43" fontId="0" fillId="4" borderId="13" xfId="1" applyFont="1" applyFill="1" applyBorder="1" applyAlignment="1">
      <alignment horizontal="center" vertical="center"/>
    </xf>
    <xf numFmtId="43" fontId="0" fillId="4" borderId="18" xfId="1" applyFont="1" applyFill="1" applyBorder="1" applyAlignment="1">
      <alignment horizontal="center" vertical="center"/>
    </xf>
    <xf numFmtId="43" fontId="0" fillId="4" borderId="14" xfId="1" applyFont="1" applyFill="1" applyBorder="1" applyAlignment="1">
      <alignment horizontal="center" vertical="center"/>
    </xf>
    <xf numFmtId="167" fontId="0" fillId="4" borderId="13" xfId="2" applyNumberFormat="1" applyFont="1" applyFill="1" applyBorder="1" applyAlignment="1">
      <alignment horizontal="center" vertical="center"/>
    </xf>
    <xf numFmtId="167" fontId="0" fillId="4" borderId="18" xfId="2" applyNumberFormat="1" applyFont="1" applyFill="1" applyBorder="1" applyAlignment="1">
      <alignment horizontal="center" vertical="center"/>
    </xf>
    <xf numFmtId="167" fontId="0" fillId="4" borderId="14" xfId="2" applyNumberFormat="1" applyFont="1" applyFill="1" applyBorder="1" applyAlignment="1">
      <alignment horizontal="center" vertical="center"/>
    </xf>
    <xf numFmtId="2" fontId="0" fillId="4" borderId="13" xfId="2" applyNumberFormat="1" applyFont="1" applyFill="1" applyBorder="1" applyAlignment="1">
      <alignment horizontal="center" vertical="center"/>
    </xf>
    <xf numFmtId="2" fontId="0" fillId="4" borderId="18" xfId="2" applyNumberFormat="1" applyFont="1" applyFill="1" applyBorder="1" applyAlignment="1">
      <alignment horizontal="center" vertical="center"/>
    </xf>
    <xf numFmtId="2" fontId="0" fillId="4" borderId="14" xfId="2" applyNumberFormat="1" applyFont="1" applyFill="1" applyBorder="1" applyAlignment="1">
      <alignment horizontal="center" vertical="center"/>
    </xf>
    <xf numFmtId="0" fontId="19" fillId="6" borderId="0" xfId="6" applyFont="1" applyFill="1" applyAlignment="1">
      <alignment horizontal="center" vertical="center" wrapText="1"/>
    </xf>
    <xf numFmtId="0" fontId="20" fillId="11" borderId="11" xfId="6" applyFont="1" applyFill="1" applyBorder="1" applyAlignment="1">
      <alignment horizontal="center" wrapText="1"/>
    </xf>
    <xf numFmtId="0" fontId="20" fillId="11" borderId="12" xfId="6" applyFont="1" applyFill="1" applyBorder="1" applyAlignment="1">
      <alignment horizontal="center" wrapText="1"/>
    </xf>
    <xf numFmtId="0" fontId="20" fillId="11" borderId="10" xfId="6" applyFont="1" applyFill="1" applyBorder="1" applyAlignment="1">
      <alignment horizontal="center" wrapText="1"/>
    </xf>
    <xf numFmtId="0" fontId="20" fillId="11" borderId="4" xfId="6" applyFont="1" applyFill="1" applyBorder="1" applyAlignment="1">
      <alignment horizontal="center" vertical="center" wrapText="1"/>
    </xf>
    <xf numFmtId="0" fontId="19" fillId="6" borderId="15" xfId="6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</cellXfs>
  <cellStyles count="9">
    <cellStyle name="Comma" xfId="1" builtinId="3"/>
    <cellStyle name="Comma 2" xfId="4"/>
    <cellStyle name="Currency" xfId="7" builtinId="4"/>
    <cellStyle name="Normal" xfId="0" builtinId="0"/>
    <cellStyle name="Normal 2" xfId="3"/>
    <cellStyle name="Normal 2 2" xfId="6"/>
    <cellStyle name="Normal 2 3" xfId="8"/>
    <cellStyle name="Percent" xfId="2" builtinId="5"/>
    <cellStyle name="Percent 2" xfId="5"/>
  </cellStyles>
  <dxfs count="0"/>
  <tableStyles count="0" defaultTableStyle="TableStyleMedium9" defaultPivotStyle="PivotStyleLight16"/>
  <colors>
    <mruColors>
      <color rgb="FFF2DCDB"/>
      <color rgb="FFE6B8B7"/>
      <color rgb="FFFFC000"/>
      <color rgb="FFDCE6F1"/>
      <color rgb="FFDAEEF3"/>
      <color rgb="FFE4DFE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pfil01\E10\Documents%20and%20Settings\itamar.raam\Local%20Settings\Temporary%20Internet%20Files\Content.Outlook\K6W32HMR\&#1499;&#1512;&#1496;&#1497;&#1505;&#1497;%20&#1500;&#1511;&#1493;&#1495;%20&#1488;&#1489;&#1496;&#1495;&#1492;%20%20&#1489;&#1506;&#1491;&#1499;&#1493;&#150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02;&#1504;&#1492;&#1500;&#1514;%20&#1492;&#1502;&#1514;&#1495;&#1501;%20-%20&#1511;&#1512;&#1497;&#1497;&#1514;%20&#1492;&#1502;&#1502;&#1513;&#1500;&#1492;\&#1495;&#1513;&#1489;&#1493;&#1504;&#1497;&#1493;&#1514;%202019\&#1513;&#1497;&#1497;&#1495;%20&#1490;&#1512;&#1488;&#1495;%20&#1493;&#1502;&#1488;&#1502;&#1493;&#1504;&#1497;&#1492;\&#1502;&#1504;&#1492;&#1500;&#1514;%20&#1492;&#1502;&#1514;&#1495;&#1501;\&#1513;&#1493;&#1496;&#1507;\&#1512;&#1489;&#1506;&#1493;&#1503;%202\&#1514;&#1511;&#1510;&#1497;&#1489;%20&#1513;&#1497;&#1497;&#1495;%20&#1490;'&#1512;&#1488;&#1495;%20&#1493;&#1502;&#1488;&#1502;&#1493;&#1504;&#1497;&#1492;%202019%20&#1512;&#1489;&#1506;&#1493;&#1503;%202%20-%20&#1500;&#1488;&#1495;&#1512;%20&#1492;&#1510;&#1502;&#1491;&#1492;%20&#1497;&#1504;&#1493;&#1488;&#1512;%201%20-%20&#1502;&#1506;&#1493;&#1491;&#1499;&#1503;%20&#1489;&#1496;&#1508;%20&#1495;&#1491;&#151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02;&#1504;&#1492;&#1500;&#1514;%20&#1492;&#1502;&#1514;&#1495;&#1501;%20-%20&#1511;&#1512;&#1497;&#1497;&#1514;%20&#1492;&#1502;&#1502;&#1513;&#1500;&#1492;/&#1495;&#1513;&#1489;&#1493;&#1504;&#1497;&#1493;&#1514;%202017/&#1495;&#1513;&#1489;&#1493;&#1504;&#1497;&#1493;&#1514;%20&#1502;&#1504;&#1492;&#1500;&#1514;%20&#1492;&#1502;&#1514;&#1495;&#1501;/&#1502;&#1489;&#1504;&#1492;%20&#1495;&#1513;&#1489;&#1493;&#1504;&#1497;&#1493;&#1514;%202017%20-%20&#1502;&#1488;&#1493;&#1513;&#1512;%20&#1488;&#1505;&#1507;%20&#1493;&#1488;&#1497;&#1510;&#1497;&#1511;/&#1492;&#1510;&#1502;&#1491;&#1493;&#1514;%202018/&#1506;&#1491;&#1499;&#1493;&#1503;%20&#1513;&#1499;&#1512;%20&#1502;&#1497;&#1504;&#1497;&#1502;&#1493;&#1501;%20&#1491;&#1510;&#1502;&#1489;&#1512;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tamar.raam/Local%20Settings/Temporary%20Internet%20Files/Content.Outlook/K6W32HMR/&#1499;&#1512;&#1496;&#1497;&#1505;&#1497;%20&#1500;&#1511;&#1493;&#1495;%20&#1488;&#1489;&#1496;&#1495;&#1492;%20%20&#1489;&#1506;&#1491;&#1499;&#1493;&#150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pfil01\E10\&#1514;&#1511;&#1504;&#1497;%20&#1513;&#1506;&#1493;&#1514;%20&#1493;&#1499;&#1512;&#1496;&#1497;&#1505;&#1497;%20&#1500;&#1511;&#1493;&#1495;\&#1499;&#1512;&#1496;&#1497;&#1505;&#1497;%20&#1500;&#1511;&#1493;&#1495;\&#1499;&#1512;&#1496;&#1497;&#1505;&#1497;%20&#1500;&#1511;&#1493;&#1495;\&#1499;&#1512;&#1496;&#1497;&#1505;&#1497;%20&#1500;&#1511;&#1493;&#1495;%20&#1488;&#1489;&#1496;&#1495;&#1492;%20%20&#1489;&#1506;&#1491;&#1499;&#1493;&#150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14;&#1511;&#1504;&#1497;%20&#1513;&#1506;&#1493;&#1514;%20&#1493;&#1499;&#1512;&#1496;&#1497;&#1505;&#1497;%20&#1500;&#1511;&#1493;&#1495;/&#1499;&#1512;&#1496;&#1497;&#1505;&#1497;%20&#1500;&#1511;&#1493;&#1495;/&#1499;&#1512;&#1496;&#1497;&#1505;&#1497;%20&#1500;&#1511;&#1493;&#1495;/&#1499;&#1512;&#1496;&#1497;&#1505;&#1497;%20&#1500;&#1511;&#1493;&#1495;%20&#1488;&#1489;&#1496;&#1495;&#1492;%20%20&#1489;&#1506;&#1491;&#1499;&#1493;&#150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ir/Desktop/&#1488;&#1514;&#1512;&#1497;&#1501;%20&#1504;&#1493;&#1505;&#1508;&#1497;&#1501;%20&#1489;&#1497;&#1512;&#1493;&#1513;&#1500;&#1497;&#1501;/&#1514;&#1502;&#1495;&#1493;&#1512;%20&#1488;&#1514;&#1512;&#1497;&#1501;%20&#1495;&#1491;&#1513;&#1497;&#1501;%20&#1489;&#1497;&#1512;&#1493;&#1513;&#1500;&#1497;&#1501;%202020%20-%20&#1492;&#1500;&#1500;%20&#1493;&#1502;&#1489;&#1504;&#1492;%20&#1502;&#1513;&#1496;&#1512;&#149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495;&#1513;&#1489;&#1493;&#1504;&#1497;&#1493;&#1514;%202019/&#1502;&#1505;&#1497;&#1500;&#1514;%20&#1497;&#1513;&#1512;&#1497;&#1501;/&#1491;&#1497;&#1497;&#1512;&#1497;&#1501;/&#1488;&#1493;&#1499;&#1500;&#1493;&#1505;&#1497;&#1503;-&#1513;&#1493;&#1496;&#1507;-&#1505;&#1508;&#1496;&#1502;&#1489;&#1512;-&#1491;&#1510;&#1502;&#1489;&#1512;%2019/&#1505;&#1497;&#1499;&#1493;&#1501;%20&#1506;&#1500;&#1493;&#1497;&#1493;&#1514;%20&#1488;&#1514;&#1512;&#1497;&#1501;%20&#1489;&#1497;&#1512;&#1493;&#1513;&#1500;&#1497;&#1501;%20&#1499;&#1493;&#1500;&#1500;%20&#1502;&#1489;&#1496;&#1495;&#1497;&#1501;%20-%20&#1488;&#1493;&#1499;&#1500;&#1493;&#1505;&#1497;&#1503;%20&#1504;&#1499;&#1493;&#1503;%20&#1500;%2031.10.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ir/AppData/Local/Microsoft/Windows/INetCache/Content.Outlook/6APUTJMJ/&#1514;&#1511;&#1510;&#1497;&#1489;%20&#1513;&#1497;&#1497;&#1495;%20&#1490;'&#1512;&#1488;&#1495;%20&#1493;&#1488;&#1514;&#1512;&#1497;&#1501;%20&#1504;&#1493;&#1505;&#1508;&#1497;&#1501;%20&#1500;&#1513;&#1504;&#1514;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495;&#1513;&#1489;&#1493;&#1504;&#1497;&#1493;&#1514;%202019/&#1490;'&#1504;&#1512;&#1500;&#1497;/&#1491;&#1497;&#1497;&#1512;&#1497;&#1501;/&#1512;&#1513;&#1493;&#1514;%20&#1492;&#1488;&#1493;&#1499;&#1500;&#1493;&#1505;&#1497;&#1503;/&#1513;&#1493;&#1496;&#1507;/&#1512;&#1489;&#1506;&#1493;&#1503;%204/&#1490;&#1504;&#1512;&#1500;&#1497;-&#1502;&#1505;&#1502;&#1499;&#1497;&#1501;-&#1513;&#1493;&#1496;&#1507;-&#1512;&#1489;&#1506;&#1493;&#1503;%2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ir/Desktop/&#1514;&#1511;&#1510;&#1497;&#1489;%20&#1502;&#1504;&#1492;&#1500;%20&#1492;&#1491;&#1497;&#1493;&#1512;%202018/&#1502;&#1504;&#1490;&#1504;&#1493;&#1503;%20&#1492;&#1510;&#1502;&#1491;&#1493;&#1514;%20&#1497;&#1504;&#1493;&#1488;&#1512;%2019/&#1514;&#1511;&#1510;&#1497;&#1489;%20&#1513;&#1497;&#1497;&#1495;%20&#1490;'&#1512;&#1488;&#1495;%20&#1502;&#1488;&#1502;&#1493;&#1504;&#1497;&#1492;%20&#1506;&#1496;&#1512;&#1493;&#1514;%20&#1493;&#1495;&#1508;&#1510;&#1497;&#1489;&#1492;%20&#1500;&#1513;&#1504;&#1514;%202019%20-%20&#1504;&#1499;&#1493;&#1503;%20&#1500;21%20&#1489;&#1497;&#1504;&#1493;&#1488;&#1512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תוני מתקן (2)"/>
      <sheetName val="-סיכום-"/>
      <sheetName val="תבניות"/>
      <sheetName val="סוציאלי"/>
      <sheetName val="ישירות"/>
      <sheetName val="נתוני מתקן"/>
      <sheetName val="עמדות"/>
      <sheetName val="א. וותק"/>
      <sheetName val="ת. גביה"/>
      <sheetName val="חריגים"/>
      <sheetName val="ניהול"/>
      <sheetName val="עלות שכר"/>
      <sheetName val="איי.אי.ג'י"/>
      <sheetName val="איי.וי.טי"/>
      <sheetName val="בוש לדיקו"/>
      <sheetName val="בי.אמ.סי"/>
      <sheetName val="ביזנס פארק"/>
      <sheetName val="בית אל על"/>
      <sheetName val="בית ברל"/>
      <sheetName val="בית שבח"/>
      <sheetName val="בסר"/>
      <sheetName val="הברזל 24"/>
      <sheetName val="וריאנט"/>
      <sheetName val="יערון"/>
      <sheetName val="מגדלי ויטה"/>
      <sheetName val="מד 1 הירקון"/>
      <sheetName val="מד 1 טירת הכרמל"/>
      <sheetName val="מד 1 פתח תקוה"/>
      <sheetName val="מיקדן"/>
      <sheetName val="מיקרוסופט"/>
      <sheetName val="מעייני ישועה"/>
      <sheetName val="משקי תקמ"/>
      <sheetName val="נאו גיימס"/>
      <sheetName val="נשר"/>
      <sheetName val="סאן-דיסק"/>
      <sheetName val="פורטיאה"/>
      <sheetName val="פיינל"/>
      <sheetName val="פלאפון"/>
      <sheetName val="פקטורי אל שרד"/>
      <sheetName val="קדמת היי טק"/>
      <sheetName val="קומסקו"/>
      <sheetName val="קורקס"/>
      <sheetName val="קניון חולון"/>
      <sheetName val="קפה רביבה וסיליה"/>
      <sheetName val="רד בינת ירושלים"/>
      <sheetName val="רד בינת תל אביב"/>
      <sheetName val="רדויז'ן"/>
      <sheetName val="רשות המחקר"/>
      <sheetName val="קומברס"/>
      <sheetName val="אמדוקס הוד השרון"/>
      <sheetName val="אמדוקס חיפה"/>
      <sheetName val="אמדוקס רעננה"/>
      <sheetName val="אשטרום"/>
      <sheetName val="נכסי אריאל"/>
    </sheetNames>
    <sheetDataSet>
      <sheetData sheetId="0" refreshError="1"/>
      <sheetData sheetId="1" refreshError="1"/>
      <sheetData sheetId="2" refreshError="1">
        <row r="22">
          <cell r="K22">
            <v>20.5</v>
          </cell>
          <cell r="L22">
            <v>4.83</v>
          </cell>
          <cell r="M22">
            <v>5.08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 עלויות - דצמבר 16 בפועל"/>
      <sheetName val="חיוב שיכון - ניקיון ש&quot;ש"/>
      <sheetName val="חשבונית שיכון - חדש"/>
      <sheetName val="חשבונית שיכון"/>
      <sheetName val="חשבונית בטפ"/>
      <sheetName val="חשבונית מדע"/>
      <sheetName val="חשבונית שירות לאומי"/>
      <sheetName val="חשבונית משטרה "/>
      <sheetName val="חשבונית אוכלוסין (2)"/>
      <sheetName val="חשבונית אוכלוסין"/>
      <sheetName val="חשבונית תעסוקה"/>
      <sheetName val="חשבונית רווחה"/>
      <sheetName val="חשבונית יס&quot;מ"/>
      <sheetName val="חשבונית משרד בטחון"/>
      <sheetName val="שעות שייח ג'ראח"/>
      <sheetName val="חפציבה"/>
      <sheetName val="חישוב עלויות שיקום שכונות 2019"/>
      <sheetName val="סיכום עלויות חודשי - צמוד 01.19"/>
      <sheetName val="אומדן מענק הסעדה"/>
      <sheetName val="שיקום שכונות דצמבר 17"/>
      <sheetName val="סיכום עלויות דצמבר 2017"/>
      <sheetName val="מדדים ינואר 2018"/>
      <sheetName val="סיכום עלויות חודשי - צמוד 07.17"/>
      <sheetName val="סיכום עלויות חודשי - צמוד 01.18"/>
      <sheetName val="סיכום עלויות חודשי - צמוד 01.17"/>
      <sheetName val="סיכום עלויות חודשי - בסיס"/>
      <sheetName val="מדדים ינואר 17 - סיכום"/>
      <sheetName val="מדד המחירים לצרכן"/>
      <sheetName val="השכר הממוצע לפי ביטוח לאומי"/>
      <sheetName val="הצמדה שעת נקיון "/>
      <sheetName val="התאמה למרכבה 45012929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O6">
            <v>84209.663319999992</v>
          </cell>
        </row>
        <row r="7">
          <cell r="O7">
            <v>310502.7590207886</v>
          </cell>
        </row>
        <row r="8">
          <cell r="O8">
            <v>115156.86137532153</v>
          </cell>
        </row>
        <row r="9">
          <cell r="O9">
            <v>226390.49298231251</v>
          </cell>
        </row>
        <row r="10">
          <cell r="O10">
            <v>736259.77669842273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40402.074015188628</v>
          </cell>
        </row>
        <row r="14">
          <cell r="O14">
            <v>121239.13406415387</v>
          </cell>
        </row>
        <row r="15">
          <cell r="O15">
            <v>43616.014269035571</v>
          </cell>
        </row>
        <row r="16">
          <cell r="O16">
            <v>85746.093236322107</v>
          </cell>
        </row>
        <row r="17">
          <cell r="O17">
            <v>291003.31558470021</v>
          </cell>
        </row>
        <row r="18">
          <cell r="O18">
            <v>6840.3653454018176</v>
          </cell>
        </row>
        <row r="19">
          <cell r="O19">
            <v>23794.66254425811</v>
          </cell>
        </row>
        <row r="20">
          <cell r="O20">
            <v>10933.583253809626</v>
          </cell>
        </row>
        <row r="21">
          <cell r="O21">
            <v>21494.674944515053</v>
          </cell>
        </row>
        <row r="22">
          <cell r="O22">
            <v>63063.286087984605</v>
          </cell>
        </row>
        <row r="23">
          <cell r="O23">
            <v>14636.141080687421</v>
          </cell>
        </row>
        <row r="24">
          <cell r="O24">
            <v>79598.394906611808</v>
          </cell>
        </row>
        <row r="25">
          <cell r="O25">
            <v>24567.923188320321</v>
          </cell>
        </row>
        <row r="26">
          <cell r="O26">
            <v>48298.852328284847</v>
          </cell>
        </row>
        <row r="27">
          <cell r="O27">
            <v>167101.31150390441</v>
          </cell>
        </row>
        <row r="28">
          <cell r="O28">
            <v>10079.206980318024</v>
          </cell>
        </row>
        <row r="29">
          <cell r="O29">
            <v>24009.851114203957</v>
          </cell>
        </row>
        <row r="30">
          <cell r="O30">
            <v>15305.46968117745</v>
          </cell>
        </row>
        <row r="31">
          <cell r="O31">
            <v>30089.503873801852</v>
          </cell>
        </row>
        <row r="32">
          <cell r="O32">
            <v>79484.031649501281</v>
          </cell>
        </row>
        <row r="33">
          <cell r="O33">
            <v>514.99597709654142</v>
          </cell>
        </row>
        <row r="34">
          <cell r="O34">
            <v>121.92033689714125</v>
          </cell>
        </row>
        <row r="35">
          <cell r="O35">
            <v>694.91857896657166</v>
          </cell>
        </row>
        <row r="36">
          <cell r="O36">
            <v>1366.1622746217447</v>
          </cell>
        </row>
        <row r="37">
          <cell r="O37">
            <v>2697.9971675819997</v>
          </cell>
        </row>
        <row r="38">
          <cell r="O38">
            <v>1992.2987228249058</v>
          </cell>
        </row>
        <row r="39">
          <cell r="O39">
            <v>7229.0625160124118</v>
          </cell>
        </row>
        <row r="40">
          <cell r="O40">
            <v>3472.5619648433685</v>
          </cell>
        </row>
        <row r="41">
          <cell r="O41">
            <v>6826.8187040133525</v>
          </cell>
        </row>
        <row r="42">
          <cell r="O42">
            <v>19520.741907694042</v>
          </cell>
        </row>
        <row r="43">
          <cell r="O43">
            <v>74465.082121517335</v>
          </cell>
        </row>
        <row r="44">
          <cell r="O44">
            <v>255993.02548213725</v>
          </cell>
        </row>
        <row r="45">
          <cell r="O45">
            <v>98590.470936152909</v>
          </cell>
        </row>
        <row r="46">
          <cell r="O46">
            <v>193822.10536155896</v>
          </cell>
        </row>
        <row r="47">
          <cell r="O47">
            <v>622870.68390136654</v>
          </cell>
        </row>
        <row r="48">
          <cell r="O48">
            <v>0</v>
          </cell>
        </row>
        <row r="49">
          <cell r="O49">
            <v>852.47272690359068</v>
          </cell>
        </row>
        <row r="50">
          <cell r="O50">
            <v>4720.2748128378353</v>
          </cell>
        </row>
        <row r="51">
          <cell r="O51">
            <v>1434.5690310176851</v>
          </cell>
        </row>
        <row r="52">
          <cell r="O52">
            <v>2820.2643443949555</v>
          </cell>
        </row>
        <row r="53">
          <cell r="O53">
            <v>9827.5809151540652</v>
          </cell>
        </row>
        <row r="54">
          <cell r="O54">
            <v>869.5221814416625</v>
          </cell>
        </row>
        <row r="55">
          <cell r="O55">
            <v>4814.6803090945914</v>
          </cell>
        </row>
        <row r="56">
          <cell r="O56">
            <v>1463.2719852958537</v>
          </cell>
        </row>
        <row r="57">
          <cell r="O57">
            <v>2876.6923843004961</v>
          </cell>
        </row>
        <row r="58">
          <cell r="O58">
            <v>10024.166860132604</v>
          </cell>
        </row>
        <row r="59">
          <cell r="O59">
            <v>2924.7993832539396</v>
          </cell>
        </row>
        <row r="60">
          <cell r="O60">
            <v>16747.53503594864</v>
          </cell>
        </row>
        <row r="61">
          <cell r="O61">
            <v>5089.8381910271492</v>
          </cell>
        </row>
        <row r="62">
          <cell r="O62">
            <v>10006.272865593897</v>
          </cell>
        </row>
        <row r="63">
          <cell r="O63">
            <v>34768.445475823632</v>
          </cell>
        </row>
        <row r="64">
          <cell r="O64">
            <v>5097.7869068834725</v>
          </cell>
        </row>
        <row r="65">
          <cell r="O65">
            <v>28227.243380770255</v>
          </cell>
        </row>
        <row r="66">
          <cell r="O66">
            <v>8578.7112318279378</v>
          </cell>
        </row>
        <row r="67">
          <cell r="O67">
            <v>16865.158026464189</v>
          </cell>
        </row>
        <row r="69">
          <cell r="O69">
            <v>9744.5811984826651</v>
          </cell>
        </row>
        <row r="70">
          <cell r="O70">
            <v>54509.733538651322</v>
          </cell>
        </row>
        <row r="71">
          <cell r="O71">
            <v>16566.390439168626</v>
          </cell>
        </row>
        <row r="72">
          <cell r="O72">
            <v>32568.387620753536</v>
          </cell>
        </row>
        <row r="73">
          <cell r="O73">
            <v>113389.09279705616</v>
          </cell>
        </row>
        <row r="74">
          <cell r="O74">
            <v>736259.77669842273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 עלויות - דצמבר 16 בפועל"/>
      <sheetName val="שיקום שכונות דצמבר 17"/>
      <sheetName val="חישוב עלויות שיקום שכונות 2018"/>
      <sheetName val="סיכום עלויות דצמבר 2017"/>
      <sheetName val="סיכום עלויות חודשי - צמוד 01.18"/>
      <sheetName val="מדדים ינואר 2018"/>
      <sheetName val="סיכום עלויות חודשי - צמוד 07.17"/>
      <sheetName val="סיכום עלויות חודשי - צמוד 01.17"/>
      <sheetName val="סיכום עלויות חודשי - בסיס"/>
      <sheetName val="מדדים ינואר 17 - סיכום"/>
      <sheetName val="מדד המחירים לצרכן"/>
      <sheetName val="השכר הממוצע לפי ביטוח לאומי"/>
      <sheetName val="הצמדה שעת נקיון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O6">
            <v>77960.59</v>
          </cell>
        </row>
        <row r="7">
          <cell r="O7">
            <v>293939.2066503088</v>
          </cell>
        </row>
        <row r="8">
          <cell r="O8">
            <v>114461.04952411115</v>
          </cell>
        </row>
        <row r="9">
          <cell r="O9">
            <v>220408.53647523036</v>
          </cell>
        </row>
        <row r="10">
          <cell r="O10">
            <v>706769.38264965033</v>
          </cell>
        </row>
        <row r="11">
          <cell r="O11"/>
        </row>
        <row r="12">
          <cell r="O12">
            <v>0</v>
          </cell>
        </row>
        <row r="13">
          <cell r="O13">
            <v>35662.438695188626</v>
          </cell>
        </row>
        <row r="14">
          <cell r="O14">
            <v>114771.71730832146</v>
          </cell>
        </row>
        <row r="15">
          <cell r="O15">
            <v>43352.473397319351</v>
          </cell>
        </row>
        <row r="16">
          <cell r="O16">
            <v>83480.408871069361</v>
          </cell>
        </row>
        <row r="17">
          <cell r="O17">
            <v>277267.03827189881</v>
          </cell>
        </row>
        <row r="18">
          <cell r="O18">
            <v>6840.3653454018176</v>
          </cell>
        </row>
        <row r="19">
          <cell r="O19">
            <v>22525.352923845596</v>
          </cell>
        </row>
        <row r="20">
          <cell r="O20">
            <v>10867.519306656697</v>
          </cell>
        </row>
        <row r="21">
          <cell r="O21">
            <v>20926.717302132951</v>
          </cell>
        </row>
        <row r="22">
          <cell r="O22">
            <v>61159.954878037061</v>
          </cell>
        </row>
        <row r="23">
          <cell r="O23">
            <v>14636.141080687421</v>
          </cell>
        </row>
        <row r="24">
          <cell r="O24">
            <v>75352.274238313548</v>
          </cell>
        </row>
        <row r="25">
          <cell r="O25">
            <v>24419.476522529869</v>
          </cell>
        </row>
        <row r="26">
          <cell r="O26">
            <v>47022.643110469522</v>
          </cell>
        </row>
        <row r="27">
          <cell r="O27">
            <v>161430.53495200037</v>
          </cell>
        </row>
        <row r="28">
          <cell r="O28">
            <v>10079.206980318024</v>
          </cell>
        </row>
        <row r="29">
          <cell r="O29">
            <v>22729.062410130271</v>
          </cell>
        </row>
        <row r="30">
          <cell r="O30">
            <v>15212.989501834989</v>
          </cell>
        </row>
        <row r="31">
          <cell r="O31">
            <v>29294.443528636104</v>
          </cell>
        </row>
        <row r="32">
          <cell r="O32">
            <v>77315.702420919391</v>
          </cell>
        </row>
        <row r="33">
          <cell r="O33">
            <v>514.99597709654142</v>
          </cell>
        </row>
        <row r="34">
          <cell r="O34">
            <v>115.41658185293198</v>
          </cell>
        </row>
        <row r="35">
          <cell r="O35">
            <v>690.71967516616951</v>
          </cell>
        </row>
        <row r="36">
          <cell r="O36">
            <v>1330.0639243741391</v>
          </cell>
        </row>
        <row r="37">
          <cell r="O37">
            <v>2651.1961584897822</v>
          </cell>
        </row>
        <row r="38">
          <cell r="O38">
            <v>1992.2987228249058</v>
          </cell>
        </row>
        <row r="39">
          <cell r="O39">
            <v>6843.4332354512444</v>
          </cell>
        </row>
        <row r="40">
          <cell r="O40">
            <v>3451.5797173216565</v>
          </cell>
        </row>
        <row r="41">
          <cell r="O41">
            <v>6646.432451785292</v>
          </cell>
        </row>
        <row r="42">
          <cell r="O42">
            <v>18933.744127383099</v>
          </cell>
        </row>
        <row r="43">
          <cell r="O43">
            <v>69725.446801517333</v>
          </cell>
        </row>
        <row r="44">
          <cell r="O44">
            <v>242337.25669791509</v>
          </cell>
        </row>
        <row r="45">
          <cell r="O45">
            <v>97994.758120828745</v>
          </cell>
        </row>
        <row r="46">
          <cell r="O46">
            <v>188700.70918846736</v>
          </cell>
        </row>
        <row r="47">
          <cell r="O47">
            <v>598758.17080872855</v>
          </cell>
        </row>
        <row r="48">
          <cell r="O48">
            <v>0</v>
          </cell>
        </row>
        <row r="49">
          <cell r="O49">
            <v>713.12289560812826</v>
          </cell>
        </row>
        <row r="50">
          <cell r="O50">
            <v>4468.4750564940859</v>
          </cell>
        </row>
        <row r="51">
          <cell r="O51">
            <v>1425.9009401958258</v>
          </cell>
        </row>
        <row r="52">
          <cell r="O52">
            <v>2745.7439949562404</v>
          </cell>
        </row>
        <row r="53">
          <cell r="O53">
            <v>9353.2428872542805</v>
          </cell>
        </row>
        <row r="54">
          <cell r="O54">
            <v>727.38535352029078</v>
          </cell>
        </row>
        <row r="55">
          <cell r="O55">
            <v>4557.8445576239665</v>
          </cell>
        </row>
        <row r="56">
          <cell r="O56">
            <v>1454.4304627260904</v>
          </cell>
        </row>
        <row r="57">
          <cell r="O57">
            <v>2800.6810266659495</v>
          </cell>
        </row>
        <row r="58">
          <cell r="O58">
            <v>9540.3414005362974</v>
          </cell>
        </row>
        <row r="59">
          <cell r="O59">
            <v>2530.1600336176389</v>
          </cell>
        </row>
        <row r="60">
          <cell r="O60">
            <v>15854.149500441017</v>
          </cell>
        </row>
        <row r="61">
          <cell r="O61">
            <v>5059.0838817158074</v>
          </cell>
        </row>
        <row r="62">
          <cell r="O62">
            <v>9741.8753271130972</v>
          </cell>
        </row>
        <row r="63">
          <cell r="O63">
            <v>33185.268742887558</v>
          </cell>
        </row>
        <row r="64">
          <cell r="O64">
            <v>4264.4749157366077</v>
          </cell>
        </row>
        <row r="65">
          <cell r="O65">
            <v>26721.480837834632</v>
          </cell>
        </row>
        <row r="66">
          <cell r="O66">
            <v>8526.8761186446882</v>
          </cell>
        </row>
        <row r="67">
          <cell r="O67">
            <v>16419.526938027728</v>
          </cell>
        </row>
        <row r="68">
          <cell r="O68">
            <v>55932.358810243655</v>
          </cell>
        </row>
        <row r="69">
          <cell r="O69">
            <v>8235.1431984826668</v>
          </cell>
        </row>
        <row r="70">
          <cell r="O70">
            <v>51601.949952393697</v>
          </cell>
        </row>
        <row r="71">
          <cell r="O71">
            <v>16466.291403282412</v>
          </cell>
        </row>
        <row r="72">
          <cell r="O72">
            <v>31707.827286763015</v>
          </cell>
        </row>
        <row r="73">
          <cell r="O73">
            <v>108011.21184092178</v>
          </cell>
        </row>
        <row r="74">
          <cell r="O74">
            <v>706769.38264965033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תוני מתקן (2)"/>
      <sheetName val="-סיכום-"/>
      <sheetName val="תבניות"/>
      <sheetName val="סוציאלי"/>
      <sheetName val="ישירות"/>
      <sheetName val="נתוני מתקן"/>
      <sheetName val="עמדות"/>
      <sheetName val="א. וותק"/>
      <sheetName val="ת. גביה"/>
      <sheetName val="חריגים"/>
      <sheetName val="ניהול"/>
      <sheetName val="עלות שכר"/>
      <sheetName val="איי.אי.ג'י"/>
      <sheetName val="איי.וי.טי"/>
      <sheetName val="בוש לדיקו"/>
      <sheetName val="בי.אמ.סי"/>
      <sheetName val="ביזנס פארק"/>
      <sheetName val="בית אל על"/>
      <sheetName val="בית ברל"/>
      <sheetName val="בית שבח"/>
      <sheetName val="בסר"/>
      <sheetName val="הברזל 24"/>
      <sheetName val="וריאנט"/>
      <sheetName val="יערון"/>
      <sheetName val="מגדלי ויטה"/>
      <sheetName val="מד 1 הירקון"/>
      <sheetName val="מד 1 טירת הכרמל"/>
      <sheetName val="מד 1 פתח תקוה"/>
      <sheetName val="מיקדן"/>
      <sheetName val="מיקרוסופט"/>
      <sheetName val="מעייני ישועה"/>
      <sheetName val="משקי תקמ"/>
      <sheetName val="נאו גיימס"/>
      <sheetName val="נשר"/>
      <sheetName val="סאן-דיסק"/>
      <sheetName val="פורטיאה"/>
      <sheetName val="פיינל"/>
      <sheetName val="פלאפון"/>
      <sheetName val="פקטורי אל שרד"/>
      <sheetName val="קדמת היי טק"/>
      <sheetName val="קומסקו"/>
      <sheetName val="קורקס"/>
      <sheetName val="קניון חולון"/>
      <sheetName val="קפה רביבה וסיליה"/>
      <sheetName val="רד בינת ירושלים"/>
      <sheetName val="רד בינת תל אביב"/>
      <sheetName val="רדויז'ן"/>
      <sheetName val="רשות המחקר"/>
      <sheetName val="קומברס"/>
      <sheetName val="אמדוקס הוד השרון"/>
      <sheetName val="אמדוקס חיפה"/>
      <sheetName val="אמדוקס רעננה"/>
      <sheetName val="אשטרום"/>
      <sheetName val="נכסי אריאל"/>
    </sheetNames>
    <sheetDataSet>
      <sheetData sheetId="0" refreshError="1"/>
      <sheetData sheetId="1" refreshError="1"/>
      <sheetData sheetId="2" refreshError="1">
        <row r="22">
          <cell r="K22">
            <v>20.5</v>
          </cell>
          <cell r="L22">
            <v>4.83</v>
          </cell>
          <cell r="M22">
            <v>5.08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תוני מתקן (2)"/>
      <sheetName val="-סיכום-"/>
      <sheetName val="תבניות"/>
      <sheetName val="סוציאלי"/>
      <sheetName val="ישירות"/>
      <sheetName val="נתוני מתקן"/>
      <sheetName val="עמדות"/>
      <sheetName val="א. וותק"/>
      <sheetName val="ת. גביה"/>
      <sheetName val="חריגים"/>
      <sheetName val="ניהול"/>
      <sheetName val="עלות שכר"/>
      <sheetName val="איי.אי.ג'י"/>
      <sheetName val="איי.וי.טי"/>
      <sheetName val="בוש לדיקו"/>
      <sheetName val="בי.אמ.סי"/>
      <sheetName val="ביזנס פארק"/>
      <sheetName val="בית אל על"/>
      <sheetName val="בית ברל"/>
      <sheetName val="בית שבח"/>
      <sheetName val="בסר"/>
      <sheetName val="הברזל 24"/>
      <sheetName val="וריאנט"/>
      <sheetName val="יערון"/>
      <sheetName val="מגדלי ויטה"/>
      <sheetName val="מד 1 הירקון"/>
      <sheetName val="מד 1 טירת הכרמל"/>
      <sheetName val="מד 1 פתח תקוה"/>
      <sheetName val="מיקדן"/>
      <sheetName val="מיקרוסופט"/>
      <sheetName val="מעייני ישועה"/>
      <sheetName val="משקי תקמ"/>
      <sheetName val="נאו גיימס"/>
      <sheetName val="נשר"/>
      <sheetName val="סאן-דיסק"/>
      <sheetName val="פורטיאה"/>
      <sheetName val="פיינל"/>
      <sheetName val="פלאפון"/>
      <sheetName val="פקטורי אל שרד"/>
      <sheetName val="קדמת היי טק"/>
      <sheetName val="קומסקו"/>
      <sheetName val="קורקס"/>
      <sheetName val="קניון חולון"/>
      <sheetName val="קפה רביבה וסיליה"/>
      <sheetName val="רד בינת ירושלים"/>
      <sheetName val="רד בינת תל אביב"/>
      <sheetName val="רדויז'ן"/>
      <sheetName val="רשות המחקר"/>
      <sheetName val="קומברס"/>
      <sheetName val="אמדוקס הוד השרון"/>
      <sheetName val="אמדוקס חיפה"/>
      <sheetName val="אמדוקס רעננה"/>
      <sheetName val="אשטרום"/>
      <sheetName val="נכסי אריאל"/>
    </sheetNames>
    <sheetDataSet>
      <sheetData sheetId="0" refreshError="1"/>
      <sheetData sheetId="1" refreshError="1"/>
      <sheetData sheetId="2" refreshError="1">
        <row r="46">
          <cell r="M46">
            <v>40436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תוני מתקן (2)"/>
      <sheetName val="-סיכום-"/>
      <sheetName val="תבניות"/>
      <sheetName val="סוציאלי"/>
      <sheetName val="ישירות"/>
      <sheetName val="נתוני מתקן"/>
      <sheetName val="עמדות"/>
      <sheetName val="א. וותק"/>
      <sheetName val="ת. גביה"/>
      <sheetName val="חריגים"/>
      <sheetName val="ניהול"/>
      <sheetName val="עלות שכר"/>
      <sheetName val="איי.אי.ג'י"/>
      <sheetName val="איי.וי.טי"/>
      <sheetName val="בוש לדיקו"/>
      <sheetName val="בי.אמ.סי"/>
      <sheetName val="ביזנס פארק"/>
      <sheetName val="בית אל על"/>
      <sheetName val="בית ברל"/>
      <sheetName val="בית שבח"/>
      <sheetName val="בסר"/>
      <sheetName val="הברזל 24"/>
      <sheetName val="וריאנט"/>
      <sheetName val="יערון"/>
      <sheetName val="מגדלי ויטה"/>
      <sheetName val="מד 1 הירקון"/>
      <sheetName val="מד 1 טירת הכרמל"/>
      <sheetName val="מד 1 פתח תקוה"/>
      <sheetName val="מיקדן"/>
      <sheetName val="מיקרוסופט"/>
      <sheetName val="מעייני ישועה"/>
      <sheetName val="משקי תקמ"/>
      <sheetName val="נאו גיימס"/>
      <sheetName val="נשר"/>
      <sheetName val="סאן-דיסק"/>
      <sheetName val="פורטיאה"/>
      <sheetName val="פיינל"/>
      <sheetName val="פלאפון"/>
      <sheetName val="פקטורי אל שרד"/>
      <sheetName val="קדמת היי טק"/>
      <sheetName val="קומסקו"/>
      <sheetName val="קורקס"/>
      <sheetName val="קניון חולון"/>
      <sheetName val="קפה רביבה וסיליה"/>
      <sheetName val="רד בינת ירושלים"/>
      <sheetName val="רד בינת תל אביב"/>
      <sheetName val="רדויז'ן"/>
      <sheetName val="רשות המחקר"/>
      <sheetName val="קומברס"/>
      <sheetName val="אמדוקס הוד השרון"/>
      <sheetName val="אמדוקס חיפה"/>
      <sheetName val="אמדוקס רעננה"/>
      <sheetName val="אשטרום"/>
      <sheetName val="נכסי אריאל"/>
    </sheetNames>
    <sheetDataSet>
      <sheetData sheetId="0" refreshError="1"/>
      <sheetData sheetId="1" refreshError="1"/>
      <sheetData sheetId="2" refreshError="1">
        <row r="46">
          <cell r="M46">
            <v>40436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 עלויות - דצמבר 16 בפועל"/>
      <sheetName val="חשבונית שיכון"/>
      <sheetName val="חיוב שיכון - ניקיון ש&quot;ש"/>
      <sheetName val="חשבונית בטפ"/>
      <sheetName val="חשבונית מדע"/>
      <sheetName val="חשבונית שירות לאומי"/>
      <sheetName val="חשבונית משטרה "/>
      <sheetName val="חשבונית אוכלוסין"/>
      <sheetName val="חשבונית תעסוקה"/>
      <sheetName val="חשבונית רווחה"/>
      <sheetName val="חשבונית יס&quot;מ"/>
      <sheetName val="חשבונית משרד בטחון"/>
      <sheetName val="שעות שייח ג'ראח"/>
      <sheetName val="עלויות אוכלוסי ראשי - 01.19"/>
      <sheetName val="סכום עלויות בניין הורדוס "/>
      <sheetName val="סכום עלויות ג'נרלי 01.19"/>
      <sheetName val="סיכום עלויות חפציבה 01.20 "/>
      <sheetName val="סיכום עלויות חפציבה 01.19 "/>
      <sheetName val="סיכום עלויות חפציבה 04.18"/>
      <sheetName val="מדדים ינואר 20 "/>
      <sheetName val="סיכום עלויות עטרות - 01.20"/>
      <sheetName val="סיכום עלויות עטרות - 01.19"/>
      <sheetName val="סיכום עלויות עטרות - 04.18"/>
      <sheetName val="עלות הלל"/>
      <sheetName val="חישוב עלויות שיקום שכונות 2020"/>
      <sheetName val="חישוב עלויות שיקום שכונות 2019"/>
      <sheetName val="עלות ל 1 מ&quot;ר"/>
      <sheetName val="עלויות שייח גראח ומאמונ - 01.20"/>
      <sheetName val="סיכום עלויות חודשי - צמוד 01.19"/>
      <sheetName val="מדדים ינואר 19"/>
      <sheetName val="סיכום עלויות חודשי - צמוד 04.18"/>
      <sheetName val="אומדן מענק הסעדה"/>
      <sheetName val="שיקום שכונות דצמבר 17"/>
      <sheetName val="סיכום עלויות דצמבר 2017"/>
      <sheetName val="סיכום עלויות חודשי - צמוד 07.17"/>
      <sheetName val="סיכום עלויות חודשי - צמוד 01.18"/>
      <sheetName val="סיכום עלויות חודשי - צמוד 01.17"/>
      <sheetName val="סיכום עלויות חודשי - בסיס"/>
      <sheetName val="מדדים ינואר 17 - סיכום"/>
      <sheetName val="מדד המחירים לצרכן"/>
      <sheetName val="השכר הממוצע לפי ביטוח לאומי"/>
      <sheetName val="הצמדה שעת נקיון "/>
      <sheetName val="התאמה למרכבה 45012929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M6">
            <v>5000</v>
          </cell>
          <cell r="N6">
            <v>5000</v>
          </cell>
        </row>
        <row r="8">
          <cell r="N8">
            <v>14067.330788419107</v>
          </cell>
        </row>
        <row r="10">
          <cell r="N10">
            <v>63598.399999999994</v>
          </cell>
        </row>
      </sheetData>
      <sheetData sheetId="14"/>
      <sheetData sheetId="15"/>
      <sheetData sheetId="16"/>
      <sheetData sheetId="17"/>
      <sheetData sheetId="18"/>
      <sheetData sheetId="19">
        <row r="3">
          <cell r="E3">
            <v>42.804712369308248</v>
          </cell>
        </row>
        <row r="4">
          <cell r="H4">
            <v>2.8503797218660587E-2</v>
          </cell>
        </row>
        <row r="5">
          <cell r="H5">
            <v>5.9756219402538058E-3</v>
          </cell>
        </row>
      </sheetData>
      <sheetData sheetId="20"/>
      <sheetData sheetId="21"/>
      <sheetData sheetId="22"/>
      <sheetData sheetId="23"/>
      <sheetData sheetId="24">
        <row r="19">
          <cell r="J19">
            <v>11557.597836795299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חשבונית 2019"/>
      <sheetName val="רשות אוכלוסין - משרד ראשי"/>
      <sheetName val="בניין ג'נרלי"/>
      <sheetName val="בניין רשות השידור"/>
      <sheetName val="עליות אתרים נוספים - צמוד 01.19"/>
      <sheetName val="סיכום עלויות עטרות - 01.19"/>
      <sheetName val="עלות ל 1 מ&quot;ר"/>
      <sheetName val="סיכום שייח גראח - צמוד 01.19"/>
      <sheetName val="סיכום עלויות חודשי - צמוד 04.18"/>
      <sheetName val="מדדים ינואר 2018"/>
      <sheetName val="הצמדה שעת נקיון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M18"/>
        </row>
        <row r="19">
          <cell r="M19"/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 עלויות - דצמבר 16 בפועל"/>
      <sheetName val="חשבונית שיכון"/>
      <sheetName val="חיוב שיכון - ניקיון ש&quot;ש"/>
      <sheetName val="חשבונית בטפ"/>
      <sheetName val="חשבונית מדע"/>
      <sheetName val="חשבונית שירות לאומי"/>
      <sheetName val="חשבונית משטרה "/>
      <sheetName val="חשבונית אוכלוסין"/>
      <sheetName val="חשבונית תעסוקה"/>
      <sheetName val="חשבונית רווחה"/>
      <sheetName val="חשבונית יס&quot;מ"/>
      <sheetName val="חשבונית משרד בטחון"/>
      <sheetName val="שעות שייח ג'ראח"/>
      <sheetName val="עלויות אוכלוסי ראשי - 01.20 "/>
      <sheetName val="עלויות אוכלוסי ראשי - 01.19"/>
      <sheetName val="סכום עלויות ג'נרלי 01.20 "/>
      <sheetName val="סכום עלויות ג'נרלי 01.19"/>
      <sheetName val="סיכום עלויות חפציבה 01.20 "/>
      <sheetName val="סיכום עלויות חפציבה 01.19 "/>
      <sheetName val="סיכום עלויות חפציבה 04.18"/>
      <sheetName val="מדדים ינואר 20 "/>
      <sheetName val="סיכום עלויות עטרות - 01.20"/>
      <sheetName val="סיכום עלויות עטרות - 01.19"/>
      <sheetName val="סיכום עלויות עטרות - 04.18"/>
      <sheetName val="חישוב עלויות שיקום שכונות 2020"/>
      <sheetName val="חישוב עלויות שיקום שכונות 2019"/>
      <sheetName val="עלות ל 1 מ&quot;ר"/>
      <sheetName val="עלויות שייח גראח ומאמונ - 01.20"/>
      <sheetName val="סיכום עלויות חודשי - צמוד 01.19"/>
      <sheetName val="מדדים ינואר 19"/>
      <sheetName val="סיכום עלויות חודשי - צמוד 04.18"/>
      <sheetName val="אומדן מענק הסעדה"/>
      <sheetName val="שיקום שכונות דצמבר 17"/>
      <sheetName val="סיכום עלויות דצמבר 2017"/>
      <sheetName val="סיכום עלויות חודשי - צמוד 07.17"/>
      <sheetName val="סיכום עלויות חודשי - צמוד 01.18"/>
      <sheetName val="סיכום עלויות חודשי - צמוד 01.17"/>
      <sheetName val="סיכום עלויות חודשי - בסיס"/>
      <sheetName val="מדדים ינואר 17 - סיכום"/>
      <sheetName val="מדד המחירים לצרכן"/>
      <sheetName val="השכר הממוצע לפי ביטוח לאומי"/>
      <sheetName val="הצמדה שעת נקיון "/>
      <sheetName val="התאמה למרכבה 45012929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M6">
            <v>5000</v>
          </cell>
        </row>
        <row r="8">
          <cell r="F8">
            <v>14067.330788419107</v>
          </cell>
        </row>
        <row r="9">
          <cell r="F9">
            <v>26125.042892778343</v>
          </cell>
        </row>
      </sheetData>
      <sheetData sheetId="15"/>
      <sheetData sheetId="16">
        <row r="8">
          <cell r="F8">
            <v>22299.633961939471</v>
          </cell>
          <cell r="G8">
            <v>1426.4252937227257</v>
          </cell>
        </row>
        <row r="9">
          <cell r="F9">
            <v>42499.324843889764</v>
          </cell>
          <cell r="G9">
            <v>2718.5249778956681</v>
          </cell>
        </row>
      </sheetData>
      <sheetData sheetId="17"/>
      <sheetData sheetId="18"/>
      <sheetData sheetId="19"/>
      <sheetData sheetId="20">
        <row r="3">
          <cell r="E3">
            <v>42.804712369308248</v>
          </cell>
        </row>
        <row r="4">
          <cell r="H4">
            <v>2.8503797218660587E-2</v>
          </cell>
        </row>
        <row r="5">
          <cell r="H5">
            <v>5.9756219402538058E-3</v>
          </cell>
        </row>
      </sheetData>
      <sheetData sheetId="21"/>
      <sheetData sheetId="22">
        <row r="6">
          <cell r="F6">
            <v>0</v>
          </cell>
          <cell r="G6">
            <v>0</v>
          </cell>
          <cell r="H6">
            <v>0</v>
          </cell>
          <cell r="I6">
            <v>750</v>
          </cell>
          <cell r="J6">
            <v>0</v>
          </cell>
          <cell r="K6">
            <v>0</v>
          </cell>
          <cell r="L6">
            <v>0</v>
          </cell>
          <cell r="M6">
            <v>893.33333333333337</v>
          </cell>
        </row>
        <row r="8">
          <cell r="F8">
            <v>1676.1459617839621</v>
          </cell>
          <cell r="G8">
            <v>125.76851887586237</v>
          </cell>
          <cell r="H8">
            <v>599.75480251762326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2401.6692831774476</v>
          </cell>
        </row>
        <row r="9">
          <cell r="F9">
            <v>3194.4502693278778</v>
          </cell>
          <cell r="G9">
            <v>239.69349218749585</v>
          </cell>
          <cell r="H9">
            <v>1143.0310570291779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4577.1748185445522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4">
          <cell r="C4">
            <v>9802</v>
          </cell>
          <cell r="E4">
            <v>2.7140312270774292E-2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ות האוכלוסין"/>
      <sheetName val="משרד הפנים"/>
      <sheetName val="מנהל התכנון"/>
      <sheetName val="משרד האוצר"/>
      <sheetName val="משרד התחבורה"/>
      <sheetName val="בניין ג'נרלי"/>
      <sheetName val="בניין רשות השידור"/>
      <sheetName val="עליות אתרים נוספים - צמוד 01.19"/>
      <sheetName val="סיכום שייח גראח - צמוד 01.19"/>
      <sheetName val="סיכום עלויות חודשי - צמוד 04.18"/>
      <sheetName val="מדדים ינואר 2018"/>
      <sheetName val="הצמדה שעת נקיון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L6">
            <v>0</v>
          </cell>
        </row>
        <row r="8">
          <cell r="L8">
            <v>0</v>
          </cell>
          <cell r="M8">
            <v>0</v>
          </cell>
        </row>
        <row r="9">
          <cell r="L9">
            <v>0</v>
          </cell>
          <cell r="M9">
            <v>0</v>
          </cell>
        </row>
        <row r="21">
          <cell r="G21"/>
        </row>
      </sheetData>
      <sheetData sheetId="10">
        <row r="2">
          <cell r="C2">
            <v>42.804712369308248</v>
          </cell>
        </row>
      </sheetData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 עלויות - דצמבר 16 בפועל"/>
      <sheetName val="חשבונית שיכון"/>
      <sheetName val="חיוב שיכון - ניקיון ש&quot;ש"/>
      <sheetName val="חשבונית בטפ"/>
      <sheetName val="חשבונית מדע"/>
      <sheetName val="חשבונית שירות לאומי"/>
      <sheetName val="חשבונית משטרה "/>
      <sheetName val="חשבונית אוכלוסין"/>
      <sheetName val="חשבונית תעסוקה"/>
      <sheetName val="חשבונית רווחה"/>
      <sheetName val="חשבונית יס&quot;מ"/>
      <sheetName val="חשבונית משרד בטחון"/>
      <sheetName val="שעות שייח ג'ראח"/>
      <sheetName val="סיכום עלויות חפציבה 01.19 "/>
      <sheetName val="סיכום עלויות חפציבה 04.18"/>
      <sheetName val="סיכום עלויות עטרות - 01.19"/>
      <sheetName val="סיכום עלויות עטרות - 04.18"/>
      <sheetName val="עלות ל 1 מ&quot;ר"/>
      <sheetName val="חישוב עלויות שיקום שכונות 2019"/>
      <sheetName val="סיכום עלויות חודשי - צמוד 01.19"/>
      <sheetName val="מדדים ינואר 2019"/>
      <sheetName val="סיכום עלויות חודשי - צמוד 04.18"/>
      <sheetName val="אומדן מענק הסעדה"/>
      <sheetName val="שיקום שכונות דצמבר 17"/>
      <sheetName val="סיכום עלויות דצמבר 2017"/>
      <sheetName val="סיכום עלויות חודשי - צמוד 07.17"/>
      <sheetName val="סיכום עלויות חודשי - צמוד 01.18"/>
      <sheetName val="סיכום עלויות חודשי - צמוד 01.17"/>
      <sheetName val="סיכום עלויות חודשי - בסיס"/>
      <sheetName val="מדדים ינואר 17 - סיכום"/>
      <sheetName val="מדד המחירים לצרכן"/>
      <sheetName val="השכר הממוצע לפי ביטוח לאומי"/>
      <sheetName val="הצמדה שעת נקיון "/>
      <sheetName val="התאמה למרכבה 45012929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E2">
            <v>5.6350265618648976E-2</v>
          </cell>
        </row>
        <row r="3">
          <cell r="D3">
            <v>42.804712369308248</v>
          </cell>
        </row>
        <row r="4">
          <cell r="F4">
            <v>3.4380738624770535E-2</v>
          </cell>
        </row>
        <row r="5">
          <cell r="F5">
            <v>7.9556898288015709E-3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D6">
            <v>7396</v>
          </cell>
        </row>
        <row r="7">
          <cell r="D7"/>
        </row>
        <row r="8">
          <cell r="D8"/>
        </row>
        <row r="9">
          <cell r="D9"/>
        </row>
        <row r="10">
          <cell r="D10"/>
        </row>
        <row r="12">
          <cell r="D12">
            <v>344</v>
          </cell>
        </row>
        <row r="13">
          <cell r="D13">
            <v>2741.25</v>
          </cell>
          <cell r="L13">
            <v>20559.400695091972</v>
          </cell>
          <cell r="M13">
            <v>11058.833320096655</v>
          </cell>
          <cell r="N13">
            <v>8783.84</v>
          </cell>
        </row>
        <row r="14">
          <cell r="D14"/>
        </row>
        <row r="15">
          <cell r="D15"/>
          <cell r="F15">
            <v>12469.984445277818</v>
          </cell>
          <cell r="G15">
            <v>21841.630375735487</v>
          </cell>
          <cell r="H15">
            <v>7346.9200613894373</v>
          </cell>
          <cell r="J15">
            <v>1957.4793866328348</v>
          </cell>
        </row>
        <row r="16">
          <cell r="D16"/>
          <cell r="F16">
            <v>24515.1343335692</v>
          </cell>
          <cell r="G16">
            <v>42939.147604798134</v>
          </cell>
          <cell r="H16">
            <v>14443.541051180824</v>
          </cell>
          <cell r="J16">
            <v>3848.27024677395</v>
          </cell>
        </row>
        <row r="17">
          <cell r="D17"/>
        </row>
        <row r="18">
          <cell r="D18">
            <v>529.4375</v>
          </cell>
          <cell r="L18">
            <v>5194.8966103670427</v>
          </cell>
          <cell r="M18">
            <v>1645.4687350347747</v>
          </cell>
        </row>
        <row r="19">
          <cell r="D19"/>
        </row>
        <row r="20">
          <cell r="D20"/>
          <cell r="F20">
            <v>3150.883670532678</v>
          </cell>
          <cell r="G20">
            <v>5518.8871157555186</v>
          </cell>
          <cell r="H20">
            <v>1769.2015991749688</v>
          </cell>
          <cell r="J20">
            <v>494.61086834646085</v>
          </cell>
        </row>
        <row r="21">
          <cell r="D21"/>
          <cell r="F21">
            <v>6194.4212353696548</v>
          </cell>
          <cell r="G21">
            <v>10849.753631070909</v>
          </cell>
          <cell r="H21">
            <v>3478.1290271267471</v>
          </cell>
          <cell r="J21">
            <v>972.37105094774267</v>
          </cell>
        </row>
        <row r="22">
          <cell r="D22"/>
        </row>
        <row r="23">
          <cell r="D23">
            <v>1816.75</v>
          </cell>
          <cell r="L23">
            <v>11195.162832711707</v>
          </cell>
          <cell r="M23">
            <v>3440.9782479757137</v>
          </cell>
        </row>
        <row r="24">
          <cell r="D24"/>
        </row>
        <row r="25">
          <cell r="D25"/>
          <cell r="F25">
            <v>6790.2517420945096</v>
          </cell>
          <cell r="G25">
            <v>11893.372390306786</v>
          </cell>
          <cell r="H25">
            <v>4818.3973402010815</v>
          </cell>
          <cell r="J25">
            <v>1065.9017157179437</v>
          </cell>
        </row>
        <row r="26">
          <cell r="D26"/>
          <cell r="F26">
            <v>13349.16930704243</v>
          </cell>
          <cell r="G26">
            <v>23381.554572663947</v>
          </cell>
          <cell r="H26">
            <v>9472.6387659828688</v>
          </cell>
          <cell r="J26">
            <v>2095.4896825955993</v>
          </cell>
        </row>
        <row r="27">
          <cell r="D27"/>
        </row>
        <row r="28">
          <cell r="D28">
            <v>516</v>
          </cell>
          <cell r="L28">
            <v>7709.570627066204</v>
          </cell>
          <cell r="M28">
            <v>2369.6363532518199</v>
          </cell>
        </row>
        <row r="29">
          <cell r="D29"/>
        </row>
        <row r="30">
          <cell r="D30"/>
          <cell r="F30">
            <v>4676.120049658688</v>
          </cell>
          <cell r="G30">
            <v>8190.3939949089063</v>
          </cell>
          <cell r="H30">
            <v>1704.9203499745458</v>
          </cell>
          <cell r="J30">
            <v>734.03528663531222</v>
          </cell>
        </row>
        <row r="31">
          <cell r="D31"/>
          <cell r="F31">
            <v>9192.9313689472692</v>
          </cell>
          <cell r="G31">
            <v>16101.752966186394</v>
          </cell>
          <cell r="H31">
            <v>3351.7564990619862</v>
          </cell>
          <cell r="J31">
            <v>1443.0630396062006</v>
          </cell>
        </row>
        <row r="32">
          <cell r="D32"/>
        </row>
        <row r="33">
          <cell r="D33">
            <v>0</v>
          </cell>
          <cell r="L33">
            <v>393.91966707637539</v>
          </cell>
          <cell r="M33">
            <v>121.07631002016599</v>
          </cell>
        </row>
        <row r="34">
          <cell r="D34"/>
        </row>
        <row r="35">
          <cell r="D35"/>
          <cell r="F35">
            <v>238.92584195336357</v>
          </cell>
          <cell r="G35">
            <v>418.48728441140383</v>
          </cell>
          <cell r="J35">
            <v>37.505452601804265</v>
          </cell>
        </row>
        <row r="36">
          <cell r="D36"/>
          <cell r="F36">
            <v>469.71182177102844</v>
          </cell>
          <cell r="G36">
            <v>822.7173048416405</v>
          </cell>
          <cell r="J36">
            <v>73.733148009075947</v>
          </cell>
        </row>
        <row r="37">
          <cell r="D37"/>
        </row>
        <row r="38">
          <cell r="D38">
            <v>161.25</v>
          </cell>
          <cell r="L38">
            <v>1523.9063692040352</v>
          </cell>
          <cell r="M38">
            <v>468.39235362087067</v>
          </cell>
        </row>
        <row r="39">
          <cell r="D39"/>
        </row>
        <row r="40">
          <cell r="D40"/>
          <cell r="F40">
            <v>924.30168572815489</v>
          </cell>
          <cell r="G40">
            <v>1618.9479516944023</v>
          </cell>
          <cell r="H40">
            <v>784.21980506983152</v>
          </cell>
          <cell r="J40">
            <v>145.09252235097992</v>
          </cell>
        </row>
        <row r="41">
          <cell r="D41"/>
          <cell r="F41">
            <v>1817.1137333656354</v>
          </cell>
          <cell r="G41">
            <v>3182.7406593016603</v>
          </cell>
          <cell r="H41">
            <v>1541.7223616195176</v>
          </cell>
          <cell r="J41">
            <v>285.24194972653942</v>
          </cell>
        </row>
        <row r="42">
          <cell r="D42"/>
        </row>
        <row r="48">
          <cell r="D48">
            <v>1300.75</v>
          </cell>
        </row>
        <row r="49">
          <cell r="L49">
            <v>426.31998601339325</v>
          </cell>
          <cell r="M49">
            <v>426.15274089019744</v>
          </cell>
        </row>
        <row r="51">
          <cell r="F51">
            <v>258.5777510317788</v>
          </cell>
          <cell r="I51">
            <v>880.78418684237022</v>
          </cell>
          <cell r="K51">
            <v>295.20709314353587</v>
          </cell>
        </row>
        <row r="52">
          <cell r="F52">
            <v>508.346127457823</v>
          </cell>
          <cell r="I52">
            <v>1731.5613146174344</v>
          </cell>
          <cell r="K52">
            <v>580.35690231969818</v>
          </cell>
        </row>
        <row r="54">
          <cell r="L54">
            <v>434.84638573366107</v>
          </cell>
          <cell r="M54">
            <v>434.67579570800137</v>
          </cell>
        </row>
        <row r="56">
          <cell r="F56">
            <v>263.74930605241434</v>
          </cell>
          <cell r="I56">
            <v>898.39987057921758</v>
          </cell>
          <cell r="K56">
            <v>301.12280866422185</v>
          </cell>
        </row>
        <row r="57">
          <cell r="F57">
            <v>518.51305000697937</v>
          </cell>
          <cell r="I57">
            <v>1766.192540909783</v>
          </cell>
          <cell r="K57">
            <v>591.98679338373381</v>
          </cell>
        </row>
        <row r="59">
          <cell r="L59">
            <v>1512.5833103755192</v>
          </cell>
          <cell r="M59">
            <v>1412.2160728784206</v>
          </cell>
        </row>
        <row r="61">
          <cell r="F61">
            <v>917.43386066075095</v>
          </cell>
          <cell r="I61">
            <v>3125.0222949167301</v>
          </cell>
          <cell r="K61">
            <v>1047.3820354496684</v>
          </cell>
        </row>
        <row r="62">
          <cell r="F62">
            <v>1803.6120602203559</v>
          </cell>
          <cell r="I62">
            <v>6143.5795442626586</v>
          </cell>
          <cell r="K62">
            <v>2059.0812611108836</v>
          </cell>
        </row>
        <row r="64">
          <cell r="L64">
            <v>2549.3935163600918</v>
          </cell>
          <cell r="M64">
            <v>2548.3933905233807</v>
          </cell>
        </row>
        <row r="66">
          <cell r="F66">
            <v>1546.2949511700369</v>
          </cell>
          <cell r="I66">
            <v>5267.0894373173724</v>
          </cell>
          <cell r="K66">
            <v>1765.326843340529</v>
          </cell>
        </row>
        <row r="67">
          <cell r="F67">
            <v>3039.9098421977815</v>
          </cell>
          <cell r="I67">
            <v>10354.736661412255</v>
          </cell>
          <cell r="K67">
            <v>3470.5115228541536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S94"/>
  <sheetViews>
    <sheetView rightToLeft="1" view="pageBreakPreview" zoomScale="60" zoomScaleNormal="100" workbookViewId="0">
      <selection activeCell="E14" sqref="E14"/>
    </sheetView>
  </sheetViews>
  <sheetFormatPr defaultRowHeight="14.25"/>
  <cols>
    <col min="1" max="1" width="19.375" customWidth="1"/>
    <col min="2" max="2" width="16.375" customWidth="1"/>
    <col min="3" max="5" width="14.87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1" width="14.125" style="2" customWidth="1"/>
    <col min="12" max="13" width="15.375" style="2" customWidth="1"/>
    <col min="14" max="14" width="17.375" style="2" customWidth="1"/>
    <col min="15" max="16" width="15.875" style="2" customWidth="1"/>
    <col min="17" max="17" width="13.625" style="16" customWidth="1"/>
    <col min="18" max="18" width="11.125" customWidth="1"/>
  </cols>
  <sheetData>
    <row r="1" spans="1:18">
      <c r="L1" s="2">
        <f>1.0528</f>
        <v>1.0528</v>
      </c>
    </row>
    <row r="2" spans="1:18" ht="29.25" customHeight="1" thickBot="1">
      <c r="A2" s="346" t="s">
        <v>215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8" ht="15" customHeight="1" thickTop="1">
      <c r="A3" s="3"/>
      <c r="B3" s="3" t="s">
        <v>16</v>
      </c>
      <c r="C3" s="3"/>
      <c r="D3" s="3">
        <v>1</v>
      </c>
      <c r="E3" s="112">
        <f xml:space="preserve"> 'הצמדה שעת נקיון '!F22</f>
        <v>38.215271227134579</v>
      </c>
      <c r="F3" s="113">
        <f xml:space="preserve"> 'הצמדה שעת נקיון '!F23</f>
        <v>1.4706775516507093</v>
      </c>
      <c r="G3" s="4"/>
      <c r="H3" s="90">
        <v>0.35</v>
      </c>
      <c r="I3" s="89">
        <v>0</v>
      </c>
      <c r="J3" s="91">
        <v>0.65</v>
      </c>
      <c r="K3" s="51">
        <v>0</v>
      </c>
      <c r="L3" s="5"/>
      <c r="M3" s="5"/>
      <c r="N3" s="18"/>
      <c r="O3" s="5"/>
      <c r="P3" s="35"/>
      <c r="Q3" s="19"/>
    </row>
    <row r="4" spans="1:18" ht="75">
      <c r="A4" s="6"/>
      <c r="B4" s="7" t="s">
        <v>14</v>
      </c>
      <c r="C4" s="7"/>
      <c r="D4" s="7"/>
      <c r="E4" s="7"/>
      <c r="F4" s="8" t="s">
        <v>11</v>
      </c>
      <c r="G4" s="8" t="s">
        <v>28</v>
      </c>
      <c r="H4" s="8" t="s">
        <v>22</v>
      </c>
      <c r="I4" s="8" t="s">
        <v>25</v>
      </c>
      <c r="J4" s="8" t="s">
        <v>19</v>
      </c>
      <c r="K4" s="8" t="s">
        <v>63</v>
      </c>
      <c r="L4" s="8" t="s">
        <v>23</v>
      </c>
      <c r="M4" s="8" t="s">
        <v>24</v>
      </c>
      <c r="N4" s="32" t="s">
        <v>31</v>
      </c>
      <c r="O4" s="45" t="s">
        <v>34</v>
      </c>
      <c r="P4" s="36" t="s">
        <v>35</v>
      </c>
      <c r="Q4" s="20"/>
    </row>
    <row r="5" spans="1:18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2" t="s">
        <v>18</v>
      </c>
      <c r="H5" s="12" t="s">
        <v>15</v>
      </c>
      <c r="I5" s="12" t="s">
        <v>17</v>
      </c>
      <c r="J5" s="12" t="s">
        <v>18</v>
      </c>
      <c r="K5" s="12" t="s">
        <v>17</v>
      </c>
      <c r="L5" s="11" t="s">
        <v>13</v>
      </c>
      <c r="M5" s="11" t="s">
        <v>13</v>
      </c>
      <c r="N5" s="33" t="s">
        <v>30</v>
      </c>
      <c r="O5" s="39"/>
      <c r="P5" s="37"/>
      <c r="Q5" s="21"/>
    </row>
    <row r="6" spans="1:18">
      <c r="A6" s="347" t="s">
        <v>70</v>
      </c>
      <c r="B6" s="322">
        <v>12056.32</v>
      </c>
      <c r="C6" s="325">
        <f>B6/$B$43</f>
        <v>0.44140807488800338</v>
      </c>
      <c r="D6" s="350" t="e">
        <f>#REF!</f>
        <v>#REF!</v>
      </c>
      <c r="E6" s="84" t="s">
        <v>69</v>
      </c>
      <c r="F6" s="85" t="e">
        <f xml:space="preserve"> F43 + F69</f>
        <v>#REF!</v>
      </c>
      <c r="G6" s="85" t="e">
        <f t="shared" ref="F6:O10" si="0" xml:space="preserve"> G43 + G69</f>
        <v>#REF!</v>
      </c>
      <c r="H6" s="85" t="e">
        <f t="shared" si="0"/>
        <v>#REF!</v>
      </c>
      <c r="I6" s="85" t="e">
        <f t="shared" si="0"/>
        <v>#REF!</v>
      </c>
      <c r="J6" s="85" t="e">
        <f t="shared" si="0"/>
        <v>#REF!</v>
      </c>
      <c r="K6" s="85" t="e">
        <f t="shared" si="0"/>
        <v>#REF!</v>
      </c>
      <c r="L6" s="85" t="e">
        <f t="shared" si="0"/>
        <v>#REF!</v>
      </c>
      <c r="M6" s="85" t="e">
        <f t="shared" si="0"/>
        <v>#REF!</v>
      </c>
      <c r="N6" s="85" t="e">
        <f t="shared" si="0"/>
        <v>#REF!</v>
      </c>
      <c r="O6" s="85" t="e">
        <f t="shared" si="0"/>
        <v>#REF!</v>
      </c>
      <c r="P6" s="38" t="e">
        <f t="shared" ref="P6" si="1" xml:space="preserve"> O6 * 1.17</f>
        <v>#REF!</v>
      </c>
      <c r="Q6" s="22" t="e">
        <f>O6-N6-M6-L6</f>
        <v>#REF!</v>
      </c>
    </row>
    <row r="7" spans="1:18">
      <c r="A7" s="348"/>
      <c r="B7" s="323"/>
      <c r="C7" s="326"/>
      <c r="D7" s="351"/>
      <c r="E7" s="84" t="s">
        <v>66</v>
      </c>
      <c r="F7" s="86" t="e">
        <f xml:space="preserve"> F44 + F70</f>
        <v>#REF!</v>
      </c>
      <c r="G7" s="86" t="e">
        <f t="shared" si="0"/>
        <v>#REF!</v>
      </c>
      <c r="H7" s="86" t="e">
        <f t="shared" si="0"/>
        <v>#REF!</v>
      </c>
      <c r="I7" s="86" t="e">
        <f t="shared" si="0"/>
        <v>#REF!</v>
      </c>
      <c r="J7" s="86" t="e">
        <f t="shared" si="0"/>
        <v>#REF!</v>
      </c>
      <c r="K7" s="86" t="e">
        <f t="shared" si="0"/>
        <v>#REF!</v>
      </c>
      <c r="L7" s="86" t="e">
        <f t="shared" si="0"/>
        <v>#REF!</v>
      </c>
      <c r="M7" s="86" t="e">
        <f t="shared" si="0"/>
        <v>#REF!</v>
      </c>
      <c r="N7" s="86" t="e">
        <f t="shared" si="0"/>
        <v>#REF!</v>
      </c>
      <c r="O7" s="85" t="e">
        <f t="shared" si="0"/>
        <v>#REF!</v>
      </c>
      <c r="P7" s="38"/>
      <c r="Q7" s="22"/>
    </row>
    <row r="8" spans="1:18">
      <c r="A8" s="348"/>
      <c r="B8" s="323"/>
      <c r="C8" s="326"/>
      <c r="D8" s="351"/>
      <c r="E8" s="84" t="s">
        <v>67</v>
      </c>
      <c r="F8" s="86" t="e">
        <f xml:space="preserve"> F45 + F71</f>
        <v>#REF!</v>
      </c>
      <c r="G8" s="86" t="e">
        <f t="shared" si="0"/>
        <v>#REF!</v>
      </c>
      <c r="H8" s="86" t="e">
        <f t="shared" si="0"/>
        <v>#REF!</v>
      </c>
      <c r="I8" s="86" t="e">
        <f t="shared" si="0"/>
        <v>#REF!</v>
      </c>
      <c r="J8" s="86" t="e">
        <f t="shared" si="0"/>
        <v>#REF!</v>
      </c>
      <c r="K8" s="86" t="e">
        <f t="shared" si="0"/>
        <v>#REF!</v>
      </c>
      <c r="L8" s="86" t="e">
        <f t="shared" si="0"/>
        <v>#REF!</v>
      </c>
      <c r="M8" s="86" t="e">
        <f t="shared" si="0"/>
        <v>#REF!</v>
      </c>
      <c r="N8" s="86" t="e">
        <f t="shared" si="0"/>
        <v>#REF!</v>
      </c>
      <c r="O8" s="85" t="e">
        <f t="shared" si="0"/>
        <v>#REF!</v>
      </c>
      <c r="P8" s="38"/>
      <c r="Q8" s="22"/>
    </row>
    <row r="9" spans="1:18">
      <c r="A9" s="348"/>
      <c r="B9" s="323"/>
      <c r="C9" s="326"/>
      <c r="D9" s="351"/>
      <c r="E9" s="84" t="s">
        <v>68</v>
      </c>
      <c r="F9" s="86" t="e">
        <f t="shared" si="0"/>
        <v>#REF!</v>
      </c>
      <c r="G9" s="86" t="e">
        <f t="shared" si="0"/>
        <v>#REF!</v>
      </c>
      <c r="H9" s="86" t="e">
        <f t="shared" si="0"/>
        <v>#REF!</v>
      </c>
      <c r="I9" s="86" t="e">
        <f t="shared" si="0"/>
        <v>#REF!</v>
      </c>
      <c r="J9" s="86" t="e">
        <f t="shared" si="0"/>
        <v>#REF!</v>
      </c>
      <c r="K9" s="86" t="e">
        <f t="shared" si="0"/>
        <v>#REF!</v>
      </c>
      <c r="L9" s="86" t="e">
        <f t="shared" si="0"/>
        <v>#REF!</v>
      </c>
      <c r="M9" s="86" t="e">
        <f t="shared" si="0"/>
        <v>#REF!</v>
      </c>
      <c r="N9" s="86" t="e">
        <f t="shared" si="0"/>
        <v>#REF!</v>
      </c>
      <c r="O9" s="85" t="e">
        <f t="shared" si="0"/>
        <v>#REF!</v>
      </c>
      <c r="P9" s="38"/>
      <c r="Q9" s="22"/>
    </row>
    <row r="10" spans="1:18">
      <c r="A10" s="349"/>
      <c r="B10" s="324"/>
      <c r="C10" s="327"/>
      <c r="D10" s="352"/>
      <c r="E10" s="84" t="s">
        <v>33</v>
      </c>
      <c r="F10" s="86" t="e">
        <f t="shared" si="0"/>
        <v>#REF!</v>
      </c>
      <c r="G10" s="86" t="e">
        <f t="shared" si="0"/>
        <v>#REF!</v>
      </c>
      <c r="H10" s="86" t="e">
        <f t="shared" si="0"/>
        <v>#REF!</v>
      </c>
      <c r="I10" s="86" t="e">
        <f t="shared" si="0"/>
        <v>#REF!</v>
      </c>
      <c r="J10" s="86" t="e">
        <f t="shared" si="0"/>
        <v>#REF!</v>
      </c>
      <c r="K10" s="86" t="e">
        <f t="shared" si="0"/>
        <v>#REF!</v>
      </c>
      <c r="L10" s="86" t="e">
        <f t="shared" si="0"/>
        <v>#REF!</v>
      </c>
      <c r="M10" s="86" t="e">
        <f t="shared" si="0"/>
        <v>#REF!</v>
      </c>
      <c r="N10" s="86" t="e">
        <f t="shared" si="0"/>
        <v>#REF!</v>
      </c>
      <c r="O10" s="85" t="e">
        <f t="shared" si="0"/>
        <v>#REF!</v>
      </c>
      <c r="P10" s="38"/>
      <c r="Q10" s="22"/>
    </row>
    <row r="11" spans="1:18">
      <c r="A11" s="6"/>
      <c r="B11" s="6"/>
      <c r="C11" s="6"/>
      <c r="D11" s="6"/>
      <c r="E11" s="6"/>
      <c r="F11" s="47"/>
      <c r="G11" s="47"/>
      <c r="H11" s="47"/>
      <c r="I11" s="47"/>
      <c r="J11" s="47"/>
      <c r="K11" s="50"/>
      <c r="L11" s="47"/>
      <c r="M11" s="47"/>
      <c r="N11" s="34"/>
      <c r="O11" s="13"/>
      <c r="P11" s="38">
        <f t="shared" ref="P11:P74" si="2" xml:space="preserve"> O11 * 1.17</f>
        <v>0</v>
      </c>
      <c r="Q11" s="23"/>
    </row>
    <row r="12" spans="1:18" ht="15">
      <c r="A12" s="87" t="s">
        <v>0</v>
      </c>
      <c r="B12" s="88" t="s">
        <v>21</v>
      </c>
      <c r="C12" s="9"/>
      <c r="D12" s="83" t="e">
        <f>#REF!</f>
        <v>#REF!</v>
      </c>
      <c r="E12" s="9"/>
      <c r="F12" s="47"/>
      <c r="G12" s="47"/>
      <c r="H12" s="47"/>
      <c r="I12" s="47"/>
      <c r="J12" s="47"/>
      <c r="K12" s="50"/>
      <c r="L12" s="47"/>
      <c r="M12" s="47"/>
      <c r="N12" s="34"/>
      <c r="O12" s="40">
        <f>SUM(F12:K12)</f>
        <v>0</v>
      </c>
      <c r="P12" s="38">
        <f t="shared" si="2"/>
        <v>0</v>
      </c>
      <c r="Q12" s="22"/>
    </row>
    <row r="13" spans="1:18">
      <c r="A13" s="331" t="s">
        <v>1</v>
      </c>
      <c r="B13" s="334">
        <v>12056.32</v>
      </c>
      <c r="C13" s="337">
        <f>B13/$B$43</f>
        <v>0.44140807488800338</v>
      </c>
      <c r="D13" s="343" t="e">
        <f>#REF!</f>
        <v>#REF!</v>
      </c>
      <c r="E13" s="30" t="s">
        <v>69</v>
      </c>
      <c r="F13" s="47" t="e">
        <f>#REF!</f>
        <v>#REF!</v>
      </c>
      <c r="G13" s="47" t="e">
        <f>#REF!</f>
        <v>#REF!</v>
      </c>
      <c r="H13" s="47" t="e">
        <f>#REF!</f>
        <v>#REF!</v>
      </c>
      <c r="I13" s="47" t="e">
        <f>#REF!</f>
        <v>#REF!</v>
      </c>
      <c r="J13" s="47" t="e">
        <f>#REF!</f>
        <v>#REF!</v>
      </c>
      <c r="K13" s="47" t="e">
        <f>#REF!</f>
        <v>#REF!</v>
      </c>
      <c r="L13" s="47" t="e">
        <f>#REF!</f>
        <v>#REF!</v>
      </c>
      <c r="M13" s="47" t="e">
        <f>#REF!</f>
        <v>#REF!</v>
      </c>
      <c r="N13" s="47" t="e">
        <f>#REF!</f>
        <v>#REF!</v>
      </c>
      <c r="O13" s="40" t="e">
        <f t="shared" ref="O13:O16" si="3">SUM(F13:N13)</f>
        <v>#REF!</v>
      </c>
      <c r="P13" s="38"/>
      <c r="Q13" s="22"/>
    </row>
    <row r="14" spans="1:18">
      <c r="A14" s="332"/>
      <c r="B14" s="335"/>
      <c r="C14" s="338"/>
      <c r="D14" s="344"/>
      <c r="E14" s="30" t="s">
        <v>66</v>
      </c>
      <c r="F14" s="47" t="e">
        <f>#REF!</f>
        <v>#REF!</v>
      </c>
      <c r="G14" s="47" t="e">
        <f xml:space="preserve"> ( $D$12 * $C$13 * $E$3)</f>
        <v>#REF!</v>
      </c>
      <c r="H14" s="47" t="e">
        <f xml:space="preserve"> ( D13  * $E$3)</f>
        <v>#REF!</v>
      </c>
      <c r="I14" s="47"/>
      <c r="J14" s="47">
        <v>0</v>
      </c>
      <c r="K14" s="50"/>
      <c r="L14" s="47">
        <v>0</v>
      </c>
      <c r="M14" s="47">
        <v>0</v>
      </c>
      <c r="N14" s="48">
        <v>0</v>
      </c>
      <c r="O14" s="40" t="e">
        <f t="shared" si="3"/>
        <v>#REF!</v>
      </c>
      <c r="P14" s="38" t="e">
        <f t="shared" si="2"/>
        <v>#REF!</v>
      </c>
      <c r="Q14" s="22" t="e">
        <f>O14-N14-M14-L14</f>
        <v>#REF!</v>
      </c>
      <c r="R14" s="44" t="e">
        <f>Q14/12</f>
        <v>#REF!</v>
      </c>
    </row>
    <row r="15" spans="1:18">
      <c r="A15" s="332"/>
      <c r="B15" s="335"/>
      <c r="C15" s="338"/>
      <c r="D15" s="344"/>
      <c r="E15" s="30" t="s">
        <v>67</v>
      </c>
      <c r="F15" s="47" t="e">
        <f>#REF!  *( 1 + $I$3 )</f>
        <v>#REF!</v>
      </c>
      <c r="G15" s="47" t="e">
        <f>#REF!  *( 1 + $I$3 )</f>
        <v>#REF!</v>
      </c>
      <c r="H15" s="47" t="e">
        <f>#REF!  *( 1 + $I$3 )</f>
        <v>#REF!</v>
      </c>
      <c r="I15" s="47" t="e">
        <f>#REF!  *( 1 + $I$3 )</f>
        <v>#REF!</v>
      </c>
      <c r="J15" s="47" t="e">
        <f>#REF!  *( 1 + $I$3 )</f>
        <v>#REF!</v>
      </c>
      <c r="K15" s="47" t="e">
        <f>#REF!  *( 1 + $I$3 )</f>
        <v>#REF!</v>
      </c>
      <c r="L15" s="47" t="e">
        <f>#REF!  *( 1 + $I$3 )</f>
        <v>#REF!</v>
      </c>
      <c r="M15" s="47" t="e">
        <f>#REF!  *( 1 + $I$3 )</f>
        <v>#REF!</v>
      </c>
      <c r="N15" s="47" t="e">
        <f>#REF!  *( 1 + $I$3 )</f>
        <v>#REF!</v>
      </c>
      <c r="O15" s="40" t="e">
        <f t="shared" si="3"/>
        <v>#REF!</v>
      </c>
      <c r="P15" s="38"/>
      <c r="Q15" s="22"/>
      <c r="R15" s="44"/>
    </row>
    <row r="16" spans="1:18">
      <c r="A16" s="332"/>
      <c r="B16" s="335"/>
      <c r="C16" s="338"/>
      <c r="D16" s="344"/>
      <c r="E16" s="30" t="s">
        <v>68</v>
      </c>
      <c r="F16" s="47" t="e">
        <f>#REF! * ( 1 + $K$3)</f>
        <v>#REF!</v>
      </c>
      <c r="G16" s="47" t="e">
        <f>#REF! * ( 1 + $K$3)</f>
        <v>#REF!</v>
      </c>
      <c r="H16" s="47" t="e">
        <f>#REF! * ( 1 + $K$3)</f>
        <v>#REF!</v>
      </c>
      <c r="I16" s="47" t="e">
        <f>#REF! * ( 1 + $K$3)</f>
        <v>#REF!</v>
      </c>
      <c r="J16" s="47" t="e">
        <f>#REF! * ( 1 + $K$3)</f>
        <v>#REF!</v>
      </c>
      <c r="K16" s="47" t="e">
        <f>#REF! * ( 1 + $K$3)</f>
        <v>#REF!</v>
      </c>
      <c r="L16" s="47" t="e">
        <f>#REF! * ( 1 + $K$3)</f>
        <v>#REF!</v>
      </c>
      <c r="M16" s="47" t="e">
        <f>#REF! * ( 1 + $K$3)</f>
        <v>#REF!</v>
      </c>
      <c r="N16" s="47" t="e">
        <f>#REF! * ( 1 + $K$3)</f>
        <v>#REF!</v>
      </c>
      <c r="O16" s="40" t="e">
        <f t="shared" si="3"/>
        <v>#REF!</v>
      </c>
      <c r="P16" s="38"/>
      <c r="Q16" s="22"/>
      <c r="R16" s="44"/>
    </row>
    <row r="17" spans="1:18">
      <c r="A17" s="333"/>
      <c r="B17" s="336"/>
      <c r="C17" s="339"/>
      <c r="D17" s="345"/>
      <c r="E17" s="30" t="s">
        <v>33</v>
      </c>
      <c r="F17" s="47" t="e">
        <f>SUM(F13:F16)</f>
        <v>#REF!</v>
      </c>
      <c r="G17" s="47" t="e">
        <f t="shared" ref="G17:N17" si="4">SUM(G13:G16)</f>
        <v>#REF!</v>
      </c>
      <c r="H17" s="47" t="e">
        <f t="shared" si="4"/>
        <v>#REF!</v>
      </c>
      <c r="I17" s="47"/>
      <c r="J17" s="47" t="e">
        <f t="shared" si="4"/>
        <v>#REF!</v>
      </c>
      <c r="K17" s="50"/>
      <c r="L17" s="47" t="e">
        <f t="shared" si="4"/>
        <v>#REF!</v>
      </c>
      <c r="M17" s="47" t="e">
        <f t="shared" si="4"/>
        <v>#REF!</v>
      </c>
      <c r="N17" s="47" t="e">
        <f t="shared" si="4"/>
        <v>#REF!</v>
      </c>
      <c r="O17" s="40" t="e">
        <f>SUM(F17:N17)</f>
        <v>#REF!</v>
      </c>
      <c r="P17" s="38"/>
      <c r="Q17" s="22"/>
      <c r="R17" s="44"/>
    </row>
    <row r="18" spans="1:18">
      <c r="A18" s="331" t="s">
        <v>2</v>
      </c>
      <c r="B18" s="334">
        <v>3046.36</v>
      </c>
      <c r="C18" s="337">
        <f>B18/$B$43</f>
        <v>0.11153385966993394</v>
      </c>
      <c r="D18" s="340" t="e">
        <f>#REF!</f>
        <v>#REF!</v>
      </c>
      <c r="E18" s="30" t="s">
        <v>69</v>
      </c>
      <c r="F18" s="47" t="e">
        <f>#REF!</f>
        <v>#REF!</v>
      </c>
      <c r="G18" s="47" t="e">
        <f>#REF!</f>
        <v>#REF!</v>
      </c>
      <c r="H18" s="47" t="e">
        <f>#REF!</f>
        <v>#REF!</v>
      </c>
      <c r="I18" s="47" t="e">
        <f>#REF!</f>
        <v>#REF!</v>
      </c>
      <c r="J18" s="47" t="e">
        <f>#REF!</f>
        <v>#REF!</v>
      </c>
      <c r="K18" s="47" t="e">
        <f>#REF!</f>
        <v>#REF!</v>
      </c>
      <c r="L18" s="47" t="e">
        <f>#REF!</f>
        <v>#REF!</v>
      </c>
      <c r="M18" s="47" t="e">
        <f>#REF!</f>
        <v>#REF!</v>
      </c>
      <c r="N18" s="47" t="e">
        <f>#REF!</f>
        <v>#REF!</v>
      </c>
      <c r="O18" s="40" t="e">
        <f t="shared" ref="O18:O21" si="5">SUM(F18:N18)</f>
        <v>#REF!</v>
      </c>
      <c r="P18" s="38" t="e">
        <f t="shared" si="2"/>
        <v>#REF!</v>
      </c>
      <c r="Q18" s="22"/>
    </row>
    <row r="19" spans="1:18">
      <c r="A19" s="332"/>
      <c r="B19" s="335"/>
      <c r="C19" s="338"/>
      <c r="D19" s="341"/>
      <c r="E19" s="30" t="s">
        <v>66</v>
      </c>
      <c r="F19" s="47" t="e">
        <f>#REF!</f>
        <v>#REF!</v>
      </c>
      <c r="G19" s="47" t="e">
        <f xml:space="preserve"> ( $D$12 * $C$18  * $E$3)</f>
        <v>#REF!</v>
      </c>
      <c r="H19" s="47" t="e">
        <f xml:space="preserve"> ( D18 * $E$3)</f>
        <v>#REF!</v>
      </c>
      <c r="I19" s="47"/>
      <c r="J19" s="47">
        <v>0</v>
      </c>
      <c r="K19" s="50"/>
      <c r="L19" s="47">
        <v>0</v>
      </c>
      <c r="M19" s="47">
        <v>0</v>
      </c>
      <c r="N19" s="48">
        <v>0</v>
      </c>
      <c r="O19" s="40" t="e">
        <f t="shared" si="5"/>
        <v>#REF!</v>
      </c>
      <c r="P19" s="38"/>
      <c r="Q19" s="22"/>
    </row>
    <row r="20" spans="1:18">
      <c r="A20" s="332"/>
      <c r="B20" s="335"/>
      <c r="C20" s="338"/>
      <c r="D20" s="341"/>
      <c r="E20" s="30" t="s">
        <v>67</v>
      </c>
      <c r="F20" s="47" t="e">
        <f>#REF!  *( 1 + $I$3 )</f>
        <v>#REF!</v>
      </c>
      <c r="G20" s="47" t="e">
        <f>#REF!  *( 1 + $I$3 )</f>
        <v>#REF!</v>
      </c>
      <c r="H20" s="47" t="e">
        <f>#REF!  *( 1 + $I$3 )</f>
        <v>#REF!</v>
      </c>
      <c r="I20" s="47" t="e">
        <f>#REF!  *( 1 + $I$3 )</f>
        <v>#REF!</v>
      </c>
      <c r="J20" s="47" t="e">
        <f>#REF!  *( 1 + $I$3 )</f>
        <v>#REF!</v>
      </c>
      <c r="K20" s="47" t="e">
        <f>#REF!  *( 1 + $I$3 )</f>
        <v>#REF!</v>
      </c>
      <c r="L20" s="47" t="e">
        <f>#REF!  *( 1 + $I$3 )</f>
        <v>#REF!</v>
      </c>
      <c r="M20" s="47" t="e">
        <f>#REF!  *( 1 + $I$3 )</f>
        <v>#REF!</v>
      </c>
      <c r="N20" s="47" t="e">
        <f>#REF!  *( 1 + $I$3 )</f>
        <v>#REF!</v>
      </c>
      <c r="O20" s="40" t="e">
        <f t="shared" si="5"/>
        <v>#REF!</v>
      </c>
      <c r="P20" s="38"/>
      <c r="Q20" s="22"/>
    </row>
    <row r="21" spans="1:18">
      <c r="A21" s="332"/>
      <c r="B21" s="335"/>
      <c r="C21" s="338"/>
      <c r="D21" s="341"/>
      <c r="E21" s="30" t="s">
        <v>68</v>
      </c>
      <c r="F21" s="47" t="e">
        <f>#REF! * ( 1 + $K$3)</f>
        <v>#REF!</v>
      </c>
      <c r="G21" s="47" t="e">
        <f>#REF! * ( 1 + $K$3)</f>
        <v>#REF!</v>
      </c>
      <c r="H21" s="47" t="e">
        <f>#REF! * ( 1 + $K$3)</f>
        <v>#REF!</v>
      </c>
      <c r="I21" s="47" t="e">
        <f>#REF! * ( 1 + $K$3)</f>
        <v>#REF!</v>
      </c>
      <c r="J21" s="47" t="e">
        <f>#REF! * ( 1 + $K$3)</f>
        <v>#REF!</v>
      </c>
      <c r="K21" s="47" t="e">
        <f>#REF! * ( 1 + $K$3)</f>
        <v>#REF!</v>
      </c>
      <c r="L21" s="47" t="e">
        <f>#REF! * ( 1 + $K$3)</f>
        <v>#REF!</v>
      </c>
      <c r="M21" s="47" t="e">
        <f>#REF! * ( 1 + $K$3)</f>
        <v>#REF!</v>
      </c>
      <c r="N21" s="47" t="e">
        <f>#REF! * ( 1 + $K$3)</f>
        <v>#REF!</v>
      </c>
      <c r="O21" s="40" t="e">
        <f t="shared" si="5"/>
        <v>#REF!</v>
      </c>
      <c r="P21" s="38"/>
      <c r="Q21" s="22"/>
    </row>
    <row r="22" spans="1:18">
      <c r="A22" s="333"/>
      <c r="B22" s="336"/>
      <c r="C22" s="339"/>
      <c r="D22" s="342"/>
      <c r="E22" s="30" t="s">
        <v>33</v>
      </c>
      <c r="F22" s="47" t="e">
        <f>SUM(F18:F21)</f>
        <v>#REF!</v>
      </c>
      <c r="G22" s="47" t="e">
        <f t="shared" ref="G22:H22" si="6">SUM(G18:G21)</f>
        <v>#REF!</v>
      </c>
      <c r="H22" s="47" t="e">
        <f t="shared" si="6"/>
        <v>#REF!</v>
      </c>
      <c r="I22" s="47"/>
      <c r="J22" s="47" t="e">
        <f t="shared" ref="J22" si="7">SUM(J18:J21)</f>
        <v>#REF!</v>
      </c>
      <c r="K22" s="50"/>
      <c r="L22" s="47" t="e">
        <f t="shared" ref="L22:N22" si="8">SUM(L18:L21)</f>
        <v>#REF!</v>
      </c>
      <c r="M22" s="47" t="e">
        <f t="shared" si="8"/>
        <v>#REF!</v>
      </c>
      <c r="N22" s="47" t="e">
        <f t="shared" si="8"/>
        <v>#REF!</v>
      </c>
      <c r="O22" s="40" t="e">
        <f>SUM(F22:N22)</f>
        <v>#REF!</v>
      </c>
      <c r="P22" s="38"/>
      <c r="Q22" s="22"/>
    </row>
    <row r="23" spans="1:18">
      <c r="A23" s="331" t="s">
        <v>3</v>
      </c>
      <c r="B23" s="334">
        <v>6565</v>
      </c>
      <c r="C23" s="337">
        <f>B23/$B$43</f>
        <v>0.24035891645541443</v>
      </c>
      <c r="D23" s="340" t="e">
        <f>#REF!</f>
        <v>#REF!</v>
      </c>
      <c r="E23" s="30" t="s">
        <v>69</v>
      </c>
      <c r="F23" s="47" t="e">
        <f>#REF!</f>
        <v>#REF!</v>
      </c>
      <c r="G23" s="47" t="e">
        <f>#REF!</f>
        <v>#REF!</v>
      </c>
      <c r="H23" s="47" t="e">
        <f>#REF!</f>
        <v>#REF!</v>
      </c>
      <c r="I23" s="47" t="e">
        <f>#REF!</f>
        <v>#REF!</v>
      </c>
      <c r="J23" s="47" t="e">
        <f>#REF!</f>
        <v>#REF!</v>
      </c>
      <c r="K23" s="47" t="e">
        <f>#REF!</f>
        <v>#REF!</v>
      </c>
      <c r="L23" s="47" t="e">
        <f>#REF!</f>
        <v>#REF!</v>
      </c>
      <c r="M23" s="47" t="e">
        <f>#REF!</f>
        <v>#REF!</v>
      </c>
      <c r="N23" s="47" t="e">
        <f>#REF!</f>
        <v>#REF!</v>
      </c>
      <c r="O23" s="40" t="e">
        <f t="shared" ref="O23:O26" si="9">SUM(F23:N23)</f>
        <v>#REF!</v>
      </c>
      <c r="P23" s="38" t="e">
        <f t="shared" si="2"/>
        <v>#REF!</v>
      </c>
      <c r="Q23" s="22"/>
    </row>
    <row r="24" spans="1:18">
      <c r="A24" s="332"/>
      <c r="B24" s="335"/>
      <c r="C24" s="338"/>
      <c r="D24" s="341"/>
      <c r="E24" s="30" t="s">
        <v>66</v>
      </c>
      <c r="F24" s="47" t="e">
        <f>#REF!</f>
        <v>#REF!</v>
      </c>
      <c r="G24" s="47" t="e">
        <f xml:space="preserve"> ( $D$12 * $C$23 * $E$3)</f>
        <v>#REF!</v>
      </c>
      <c r="H24" s="47" t="e">
        <f xml:space="preserve"> ( D23 * $E$3)</f>
        <v>#REF!</v>
      </c>
      <c r="I24" s="47"/>
      <c r="J24" s="47">
        <v>0</v>
      </c>
      <c r="K24" s="50"/>
      <c r="L24" s="47">
        <v>0</v>
      </c>
      <c r="M24" s="47">
        <v>0</v>
      </c>
      <c r="N24" s="48">
        <v>0</v>
      </c>
      <c r="O24" s="40" t="e">
        <f t="shared" si="9"/>
        <v>#REF!</v>
      </c>
      <c r="P24" s="38"/>
      <c r="Q24" s="22"/>
    </row>
    <row r="25" spans="1:18">
      <c r="A25" s="332"/>
      <c r="B25" s="335"/>
      <c r="C25" s="338"/>
      <c r="D25" s="341"/>
      <c r="E25" s="30" t="s">
        <v>67</v>
      </c>
      <c r="F25" s="47" t="e">
        <f>#REF!  *( 1 + $I$3 )</f>
        <v>#REF!</v>
      </c>
      <c r="G25" s="47" t="e">
        <f>#REF!  *( 1 + $I$3 )</f>
        <v>#REF!</v>
      </c>
      <c r="H25" s="47" t="e">
        <f>#REF!  *( 1 + $I$3 )</f>
        <v>#REF!</v>
      </c>
      <c r="I25" s="47" t="e">
        <f>#REF!  *( 1 + $I$3 )</f>
        <v>#REF!</v>
      </c>
      <c r="J25" s="47" t="e">
        <f>#REF!  *( 1 + $I$3 )</f>
        <v>#REF!</v>
      </c>
      <c r="K25" s="47" t="e">
        <f>#REF!  *( 1 + $I$3 )</f>
        <v>#REF!</v>
      </c>
      <c r="L25" s="47" t="e">
        <f>#REF!  *( 1 + $I$3 )</f>
        <v>#REF!</v>
      </c>
      <c r="M25" s="47" t="e">
        <f>#REF!  *( 1 + $I$3 )</f>
        <v>#REF!</v>
      </c>
      <c r="N25" s="47" t="e">
        <f>#REF!  *( 1 + $I$3 )</f>
        <v>#REF!</v>
      </c>
      <c r="O25" s="40" t="e">
        <f t="shared" si="9"/>
        <v>#REF!</v>
      </c>
      <c r="P25" s="38"/>
      <c r="Q25" s="22"/>
    </row>
    <row r="26" spans="1:18">
      <c r="A26" s="332"/>
      <c r="B26" s="335"/>
      <c r="C26" s="338"/>
      <c r="D26" s="341"/>
      <c r="E26" s="30" t="s">
        <v>68</v>
      </c>
      <c r="F26" s="47" t="e">
        <f>#REF! * ( 1 + $K$3)</f>
        <v>#REF!</v>
      </c>
      <c r="G26" s="47" t="e">
        <f>#REF! * ( 1 + $K$3)</f>
        <v>#REF!</v>
      </c>
      <c r="H26" s="47" t="e">
        <f>#REF! * ( 1 + $K$3)</f>
        <v>#REF!</v>
      </c>
      <c r="I26" s="47" t="e">
        <f>#REF! * ( 1 + $K$3)</f>
        <v>#REF!</v>
      </c>
      <c r="J26" s="47" t="e">
        <f>#REF! * ( 1 + $K$3)</f>
        <v>#REF!</v>
      </c>
      <c r="K26" s="47" t="e">
        <f>#REF! * ( 1 + $K$3)</f>
        <v>#REF!</v>
      </c>
      <c r="L26" s="47" t="e">
        <f>#REF! * ( 1 + $K$3)</f>
        <v>#REF!</v>
      </c>
      <c r="M26" s="47" t="e">
        <f>#REF! * ( 1 + $K$3)</f>
        <v>#REF!</v>
      </c>
      <c r="N26" s="47" t="e">
        <f>#REF! * ( 1 + $K$3)</f>
        <v>#REF!</v>
      </c>
      <c r="O26" s="40" t="e">
        <f t="shared" si="9"/>
        <v>#REF!</v>
      </c>
      <c r="P26" s="38"/>
      <c r="Q26" s="22"/>
    </row>
    <row r="27" spans="1:18">
      <c r="A27" s="333"/>
      <c r="B27" s="336"/>
      <c r="C27" s="339"/>
      <c r="D27" s="342"/>
      <c r="E27" s="30" t="s">
        <v>33</v>
      </c>
      <c r="F27" s="47" t="e">
        <f>SUM(F23:F26)</f>
        <v>#REF!</v>
      </c>
      <c r="G27" s="47" t="e">
        <f t="shared" ref="G27:H27" si="10">SUM(G23:G26)</f>
        <v>#REF!</v>
      </c>
      <c r="H27" s="47" t="e">
        <f t="shared" si="10"/>
        <v>#REF!</v>
      </c>
      <c r="I27" s="47"/>
      <c r="J27" s="47" t="e">
        <f t="shared" ref="J27" si="11">SUM(J23:J26)</f>
        <v>#REF!</v>
      </c>
      <c r="K27" s="50"/>
      <c r="L27" s="47" t="e">
        <f t="shared" ref="L27:N27" si="12">SUM(L23:L26)</f>
        <v>#REF!</v>
      </c>
      <c r="M27" s="47" t="e">
        <f t="shared" si="12"/>
        <v>#REF!</v>
      </c>
      <c r="N27" s="47" t="e">
        <f t="shared" si="12"/>
        <v>#REF!</v>
      </c>
      <c r="O27" s="40" t="e">
        <f>SUM(F27:N27)</f>
        <v>#REF!</v>
      </c>
      <c r="P27" s="38"/>
      <c r="Q27" s="22"/>
    </row>
    <row r="28" spans="1:18">
      <c r="A28" s="331" t="s">
        <v>4</v>
      </c>
      <c r="B28" s="334">
        <v>4521</v>
      </c>
      <c r="C28" s="337">
        <f>B28/$B$43</f>
        <v>0.16552363462222827</v>
      </c>
      <c r="D28" s="340" t="e">
        <f>#REF!</f>
        <v>#REF!</v>
      </c>
      <c r="E28" s="30" t="s">
        <v>69</v>
      </c>
      <c r="F28" s="47" t="e">
        <f>#REF!</f>
        <v>#REF!</v>
      </c>
      <c r="G28" s="47" t="e">
        <f>#REF!</f>
        <v>#REF!</v>
      </c>
      <c r="H28" s="47" t="e">
        <f>#REF!</f>
        <v>#REF!</v>
      </c>
      <c r="I28" s="47" t="e">
        <f>#REF!</f>
        <v>#REF!</v>
      </c>
      <c r="J28" s="47" t="e">
        <f>#REF!</f>
        <v>#REF!</v>
      </c>
      <c r="K28" s="47" t="e">
        <f>#REF!</f>
        <v>#REF!</v>
      </c>
      <c r="L28" s="47" t="e">
        <f>#REF!</f>
        <v>#REF!</v>
      </c>
      <c r="M28" s="47" t="e">
        <f>#REF!</f>
        <v>#REF!</v>
      </c>
      <c r="N28" s="47" t="e">
        <f>#REF!</f>
        <v>#REF!</v>
      </c>
      <c r="O28" s="40" t="e">
        <f t="shared" ref="O28:O31" si="13">SUM(F28:N28)</f>
        <v>#REF!</v>
      </c>
      <c r="P28" s="38" t="e">
        <f t="shared" si="2"/>
        <v>#REF!</v>
      </c>
      <c r="Q28" s="22"/>
    </row>
    <row r="29" spans="1:18">
      <c r="A29" s="332"/>
      <c r="B29" s="335"/>
      <c r="C29" s="338"/>
      <c r="D29" s="341"/>
      <c r="E29" s="30" t="s">
        <v>66</v>
      </c>
      <c r="F29" s="47" t="e">
        <f>#REF!</f>
        <v>#REF!</v>
      </c>
      <c r="G29" s="47" t="e">
        <f xml:space="preserve"> ( $D$12 * $C$28  * $E$3)</f>
        <v>#REF!</v>
      </c>
      <c r="H29" s="47" t="e">
        <f xml:space="preserve"> ( D28  * $E$3)</f>
        <v>#REF!</v>
      </c>
      <c r="I29" s="47"/>
      <c r="J29" s="47">
        <v>0</v>
      </c>
      <c r="K29" s="50"/>
      <c r="L29" s="47">
        <v>0</v>
      </c>
      <c r="M29" s="47">
        <v>0</v>
      </c>
      <c r="N29" s="48">
        <v>0</v>
      </c>
      <c r="O29" s="40" t="e">
        <f t="shared" si="13"/>
        <v>#REF!</v>
      </c>
      <c r="P29" s="38"/>
      <c r="Q29" s="22"/>
    </row>
    <row r="30" spans="1:18">
      <c r="A30" s="332"/>
      <c r="B30" s="335"/>
      <c r="C30" s="338"/>
      <c r="D30" s="341"/>
      <c r="E30" s="30" t="s">
        <v>67</v>
      </c>
      <c r="F30" s="47" t="e">
        <f>#REF!  *( 1 + $I$3 )</f>
        <v>#REF!</v>
      </c>
      <c r="G30" s="47" t="e">
        <f>#REF!  *( 1 + $I$3 )</f>
        <v>#REF!</v>
      </c>
      <c r="H30" s="47" t="e">
        <f>#REF!  *( 1 + $I$3 )</f>
        <v>#REF!</v>
      </c>
      <c r="I30" s="47" t="e">
        <f>#REF!  *( 1 + $I$3 )</f>
        <v>#REF!</v>
      </c>
      <c r="J30" s="47" t="e">
        <f>#REF!  *( 1 + $I$3 )</f>
        <v>#REF!</v>
      </c>
      <c r="K30" s="47" t="e">
        <f>#REF!  *( 1 + $I$3 )</f>
        <v>#REF!</v>
      </c>
      <c r="L30" s="47" t="e">
        <f>#REF!  *( 1 + $I$3 )</f>
        <v>#REF!</v>
      </c>
      <c r="M30" s="47" t="e">
        <f>#REF!  *( 1 + $I$3 )</f>
        <v>#REF!</v>
      </c>
      <c r="N30" s="47" t="e">
        <f>#REF!  *( 1 + $I$3 )</f>
        <v>#REF!</v>
      </c>
      <c r="O30" s="40" t="e">
        <f t="shared" si="13"/>
        <v>#REF!</v>
      </c>
      <c r="P30" s="38"/>
      <c r="Q30" s="22"/>
    </row>
    <row r="31" spans="1:18">
      <c r="A31" s="332"/>
      <c r="B31" s="335"/>
      <c r="C31" s="338"/>
      <c r="D31" s="341"/>
      <c r="E31" s="30" t="s">
        <v>68</v>
      </c>
      <c r="F31" s="47" t="e">
        <f>#REF! * ( 1 + $K$3)</f>
        <v>#REF!</v>
      </c>
      <c r="G31" s="47" t="e">
        <f>#REF! * ( 1 + $K$3)</f>
        <v>#REF!</v>
      </c>
      <c r="H31" s="47" t="e">
        <f>#REF! * ( 1 + $K$3)</f>
        <v>#REF!</v>
      </c>
      <c r="I31" s="47" t="e">
        <f>#REF! * ( 1 + $K$3)</f>
        <v>#REF!</v>
      </c>
      <c r="J31" s="47" t="e">
        <f>#REF! * ( 1 + $K$3)</f>
        <v>#REF!</v>
      </c>
      <c r="K31" s="47" t="e">
        <f>#REF! * ( 1 + $K$3)</f>
        <v>#REF!</v>
      </c>
      <c r="L31" s="47" t="e">
        <f>#REF! * ( 1 + $K$3)</f>
        <v>#REF!</v>
      </c>
      <c r="M31" s="47" t="e">
        <f>#REF! * ( 1 + $K$3)</f>
        <v>#REF!</v>
      </c>
      <c r="N31" s="47" t="e">
        <f>#REF! * ( 1 + $K$3)</f>
        <v>#REF!</v>
      </c>
      <c r="O31" s="40" t="e">
        <f t="shared" si="13"/>
        <v>#REF!</v>
      </c>
      <c r="P31" s="38"/>
      <c r="Q31" s="22"/>
    </row>
    <row r="32" spans="1:18">
      <c r="A32" s="333"/>
      <c r="B32" s="336"/>
      <c r="C32" s="339"/>
      <c r="D32" s="342"/>
      <c r="E32" s="30" t="s">
        <v>33</v>
      </c>
      <c r="F32" s="47" t="e">
        <f>SUM(F28:F31)</f>
        <v>#REF!</v>
      </c>
      <c r="G32" s="47" t="e">
        <f t="shared" ref="G32:H32" si="14">SUM(G28:G31)</f>
        <v>#REF!</v>
      </c>
      <c r="H32" s="47" t="e">
        <f t="shared" si="14"/>
        <v>#REF!</v>
      </c>
      <c r="I32" s="47"/>
      <c r="J32" s="47" t="e">
        <f t="shared" ref="J32" si="15">SUM(J28:J31)</f>
        <v>#REF!</v>
      </c>
      <c r="K32" s="50"/>
      <c r="L32" s="47" t="e">
        <f t="shared" ref="L32:N32" si="16">SUM(L28:L31)</f>
        <v>#REF!</v>
      </c>
      <c r="M32" s="47" t="e">
        <f t="shared" si="16"/>
        <v>#REF!</v>
      </c>
      <c r="N32" s="47" t="e">
        <f t="shared" si="16"/>
        <v>#REF!</v>
      </c>
      <c r="O32" s="40" t="e">
        <f>SUM(F32:N32)</f>
        <v>#REF!</v>
      </c>
      <c r="P32" s="38"/>
      <c r="Q32" s="22"/>
    </row>
    <row r="33" spans="1:17">
      <c r="A33" s="331" t="s">
        <v>5</v>
      </c>
      <c r="B33" s="334">
        <v>231</v>
      </c>
      <c r="C33" s="337">
        <f>B33/$B$43</f>
        <v>8.4574119879970659E-3</v>
      </c>
      <c r="D33" s="340">
        <v>0</v>
      </c>
      <c r="E33" s="30" t="s">
        <v>69</v>
      </c>
      <c r="F33" s="47" t="e">
        <f>#REF!</f>
        <v>#REF!</v>
      </c>
      <c r="G33" s="47" t="e">
        <f>#REF!</f>
        <v>#REF!</v>
      </c>
      <c r="H33" s="47" t="e">
        <f>#REF!</f>
        <v>#REF!</v>
      </c>
      <c r="I33" s="47" t="e">
        <f>#REF!</f>
        <v>#REF!</v>
      </c>
      <c r="J33" s="47" t="e">
        <f>#REF!</f>
        <v>#REF!</v>
      </c>
      <c r="K33" s="47" t="e">
        <f>#REF!</f>
        <v>#REF!</v>
      </c>
      <c r="L33" s="47" t="e">
        <f>#REF!</f>
        <v>#REF!</v>
      </c>
      <c r="M33" s="47" t="e">
        <f>#REF!</f>
        <v>#REF!</v>
      </c>
      <c r="N33" s="47" t="e">
        <f>#REF!</f>
        <v>#REF!</v>
      </c>
      <c r="O33" s="40" t="e">
        <f t="shared" ref="O33:O36" si="17">SUM(F33:N33)</f>
        <v>#REF!</v>
      </c>
      <c r="P33" s="38" t="e">
        <f t="shared" si="2"/>
        <v>#REF!</v>
      </c>
      <c r="Q33" s="22"/>
    </row>
    <row r="34" spans="1:17">
      <c r="A34" s="332"/>
      <c r="B34" s="335"/>
      <c r="C34" s="338"/>
      <c r="D34" s="341"/>
      <c r="E34" s="30" t="s">
        <v>66</v>
      </c>
      <c r="F34" s="47" t="e">
        <f>#REF!</f>
        <v>#REF!</v>
      </c>
      <c r="G34" s="47" t="e">
        <f xml:space="preserve"> ( $D$12 * $C$33  * $E$3)</f>
        <v>#REF!</v>
      </c>
      <c r="H34" s="47">
        <f xml:space="preserve"> ( D33* $E$3)</f>
        <v>0</v>
      </c>
      <c r="I34" s="47"/>
      <c r="J34" s="47">
        <v>0</v>
      </c>
      <c r="K34" s="50"/>
      <c r="L34" s="47">
        <v>0</v>
      </c>
      <c r="M34" s="47">
        <v>0</v>
      </c>
      <c r="N34" s="48">
        <v>0</v>
      </c>
      <c r="O34" s="40" t="e">
        <f t="shared" si="17"/>
        <v>#REF!</v>
      </c>
      <c r="P34" s="38"/>
      <c r="Q34" s="22"/>
    </row>
    <row r="35" spans="1:17">
      <c r="A35" s="332"/>
      <c r="B35" s="335"/>
      <c r="C35" s="338"/>
      <c r="D35" s="341"/>
      <c r="E35" s="30" t="s">
        <v>67</v>
      </c>
      <c r="F35" s="47" t="e">
        <f>#REF!  *( 1 + $I$3 )</f>
        <v>#REF!</v>
      </c>
      <c r="G35" s="47" t="e">
        <f>#REF!  *( 1 + $I$3 )</f>
        <v>#REF!</v>
      </c>
      <c r="H35" s="47" t="e">
        <f>#REF!  *( 1 + $I$3 )</f>
        <v>#REF!</v>
      </c>
      <c r="I35" s="47" t="e">
        <f>#REF!  *( 1 + $I$3 )</f>
        <v>#REF!</v>
      </c>
      <c r="J35" s="47" t="e">
        <f>#REF!  *( 1 + $I$3 )</f>
        <v>#REF!</v>
      </c>
      <c r="K35" s="47" t="e">
        <f>#REF!  *( 1 + $I$3 )</f>
        <v>#REF!</v>
      </c>
      <c r="L35" s="47" t="e">
        <f>#REF!  *( 1 + $I$3 )</f>
        <v>#REF!</v>
      </c>
      <c r="M35" s="47" t="e">
        <f>#REF!  *( 1 + $I$3 )</f>
        <v>#REF!</v>
      </c>
      <c r="N35" s="47" t="e">
        <f>#REF!  *( 1 + $I$3 )</f>
        <v>#REF!</v>
      </c>
      <c r="O35" s="40" t="e">
        <f t="shared" si="17"/>
        <v>#REF!</v>
      </c>
      <c r="P35" s="38"/>
      <c r="Q35" s="22"/>
    </row>
    <row r="36" spans="1:17">
      <c r="A36" s="332"/>
      <c r="B36" s="335"/>
      <c r="C36" s="338"/>
      <c r="D36" s="341"/>
      <c r="E36" s="30" t="s">
        <v>68</v>
      </c>
      <c r="F36" s="47" t="e">
        <f>#REF! * ( 1 + $K$3)</f>
        <v>#REF!</v>
      </c>
      <c r="G36" s="47" t="e">
        <f>#REF! * ( 1 + $K$3)</f>
        <v>#REF!</v>
      </c>
      <c r="H36" s="47" t="e">
        <f>#REF! * ( 1 + $K$3)</f>
        <v>#REF!</v>
      </c>
      <c r="I36" s="47" t="e">
        <f>#REF! * ( 1 + $K$3)</f>
        <v>#REF!</v>
      </c>
      <c r="J36" s="47" t="e">
        <f>#REF! * ( 1 + $K$3)</f>
        <v>#REF!</v>
      </c>
      <c r="K36" s="47" t="e">
        <f>#REF! * ( 1 + $K$3)</f>
        <v>#REF!</v>
      </c>
      <c r="L36" s="47" t="e">
        <f>#REF! * ( 1 + $K$3)</f>
        <v>#REF!</v>
      </c>
      <c r="M36" s="47" t="e">
        <f>#REF! * ( 1 + $K$3)</f>
        <v>#REF!</v>
      </c>
      <c r="N36" s="47" t="e">
        <f>#REF! * ( 1 + $K$3)</f>
        <v>#REF!</v>
      </c>
      <c r="O36" s="40" t="e">
        <f t="shared" si="17"/>
        <v>#REF!</v>
      </c>
      <c r="P36" s="38"/>
      <c r="Q36" s="22"/>
    </row>
    <row r="37" spans="1:17">
      <c r="A37" s="333"/>
      <c r="B37" s="336"/>
      <c r="C37" s="339"/>
      <c r="D37" s="342"/>
      <c r="E37" s="30" t="s">
        <v>33</v>
      </c>
      <c r="F37" s="47" t="e">
        <f>SUM(F33:F36)</f>
        <v>#REF!</v>
      </c>
      <c r="G37" s="47" t="e">
        <f t="shared" ref="G37:H37" si="18">SUM(G33:G36)</f>
        <v>#REF!</v>
      </c>
      <c r="H37" s="47" t="e">
        <f t="shared" si="18"/>
        <v>#REF!</v>
      </c>
      <c r="I37" s="47"/>
      <c r="J37" s="47" t="e">
        <f t="shared" ref="J37" si="19">SUM(J33:J36)</f>
        <v>#REF!</v>
      </c>
      <c r="K37" s="50"/>
      <c r="L37" s="47" t="e">
        <f t="shared" ref="L37:N37" si="20">SUM(L33:L36)</f>
        <v>#REF!</v>
      </c>
      <c r="M37" s="47" t="e">
        <f t="shared" si="20"/>
        <v>#REF!</v>
      </c>
      <c r="N37" s="47" t="e">
        <f t="shared" si="20"/>
        <v>#REF!</v>
      </c>
      <c r="O37" s="40" t="e">
        <f>SUM(F37:N37)</f>
        <v>#REF!</v>
      </c>
      <c r="P37" s="38"/>
      <c r="Q37" s="22"/>
    </row>
    <row r="38" spans="1:17">
      <c r="A38" s="331" t="s">
        <v>26</v>
      </c>
      <c r="B38" s="334">
        <v>893.64</v>
      </c>
      <c r="C38" s="337">
        <f>B38/$B$43</f>
        <v>3.2718102376422933E-2</v>
      </c>
      <c r="D38" s="340" t="e">
        <f>#REF!</f>
        <v>#REF!</v>
      </c>
      <c r="E38" s="30" t="s">
        <v>69</v>
      </c>
      <c r="F38" s="47" t="e">
        <f>#REF!</f>
        <v>#REF!</v>
      </c>
      <c r="G38" s="47" t="e">
        <f>#REF!</f>
        <v>#REF!</v>
      </c>
      <c r="H38" s="47" t="e">
        <f>#REF!</f>
        <v>#REF!</v>
      </c>
      <c r="I38" s="47" t="e">
        <f>#REF!</f>
        <v>#REF!</v>
      </c>
      <c r="J38" s="47" t="e">
        <f>#REF!</f>
        <v>#REF!</v>
      </c>
      <c r="K38" s="47" t="e">
        <f>#REF!</f>
        <v>#REF!</v>
      </c>
      <c r="L38" s="47" t="e">
        <f>#REF!</f>
        <v>#REF!</v>
      </c>
      <c r="M38" s="47" t="e">
        <f>#REF!</f>
        <v>#REF!</v>
      </c>
      <c r="N38" s="47" t="e">
        <f>#REF!</f>
        <v>#REF!</v>
      </c>
      <c r="O38" s="40" t="e">
        <f t="shared" ref="O38:O41" si="21">SUM(F38:N38)</f>
        <v>#REF!</v>
      </c>
      <c r="P38" s="38" t="e">
        <f t="shared" si="2"/>
        <v>#REF!</v>
      </c>
      <c r="Q38" s="22"/>
    </row>
    <row r="39" spans="1:17">
      <c r="A39" s="332"/>
      <c r="B39" s="335"/>
      <c r="C39" s="338"/>
      <c r="D39" s="341"/>
      <c r="E39" s="30" t="s">
        <v>66</v>
      </c>
      <c r="F39" s="47" t="e">
        <f>#REF!</f>
        <v>#REF!</v>
      </c>
      <c r="G39" s="47" t="e">
        <f xml:space="preserve"> ( $D$12 * $C$38  * $E$3)</f>
        <v>#REF!</v>
      </c>
      <c r="H39" s="47" t="e">
        <f xml:space="preserve"> ( D38  * $E$3)</f>
        <v>#REF!</v>
      </c>
      <c r="I39" s="47"/>
      <c r="J39" s="47">
        <v>0</v>
      </c>
      <c r="K39" s="50"/>
      <c r="L39" s="47">
        <v>0</v>
      </c>
      <c r="M39" s="47">
        <v>0</v>
      </c>
      <c r="N39" s="48">
        <v>0</v>
      </c>
      <c r="O39" s="40" t="e">
        <f t="shared" si="21"/>
        <v>#REF!</v>
      </c>
      <c r="P39" s="38"/>
      <c r="Q39" s="22"/>
    </row>
    <row r="40" spans="1:17">
      <c r="A40" s="332"/>
      <c r="B40" s="335"/>
      <c r="C40" s="338"/>
      <c r="D40" s="341"/>
      <c r="E40" s="30" t="s">
        <v>67</v>
      </c>
      <c r="F40" s="47" t="e">
        <f>#REF!  *( 1 + $I$3 )</f>
        <v>#REF!</v>
      </c>
      <c r="G40" s="47" t="e">
        <f>#REF!  *( 1 + $I$3 )</f>
        <v>#REF!</v>
      </c>
      <c r="H40" s="47" t="e">
        <f>#REF!  *( 1 + $I$3 )</f>
        <v>#REF!</v>
      </c>
      <c r="I40" s="47" t="e">
        <f>#REF!  *( 1 + $I$3 )</f>
        <v>#REF!</v>
      </c>
      <c r="J40" s="47" t="e">
        <f>#REF!  *( 1 + $I$3 )</f>
        <v>#REF!</v>
      </c>
      <c r="K40" s="47" t="e">
        <f>#REF!  *( 1 + $I$3 )</f>
        <v>#REF!</v>
      </c>
      <c r="L40" s="47" t="e">
        <f>#REF!  *( 1 + $I$3 )</f>
        <v>#REF!</v>
      </c>
      <c r="M40" s="47" t="e">
        <f>#REF!  *( 1 + $I$3 )</f>
        <v>#REF!</v>
      </c>
      <c r="N40" s="47" t="e">
        <f>#REF!  *( 1 + $I$3 )</f>
        <v>#REF!</v>
      </c>
      <c r="O40" s="40" t="e">
        <f t="shared" si="21"/>
        <v>#REF!</v>
      </c>
      <c r="P40" s="38"/>
      <c r="Q40" s="22"/>
    </row>
    <row r="41" spans="1:17">
      <c r="A41" s="332"/>
      <c r="B41" s="335"/>
      <c r="C41" s="338"/>
      <c r="D41" s="341"/>
      <c r="E41" s="30" t="s">
        <v>68</v>
      </c>
      <c r="F41" s="47" t="e">
        <f>#REF! * ( 1 + $K$3)</f>
        <v>#REF!</v>
      </c>
      <c r="G41" s="47" t="e">
        <f>#REF! * ( 1 + $K$3)</f>
        <v>#REF!</v>
      </c>
      <c r="H41" s="47" t="e">
        <f>#REF! * ( 1 + $K$3)</f>
        <v>#REF!</v>
      </c>
      <c r="I41" s="47" t="e">
        <f>#REF! * ( 1 + $K$3)</f>
        <v>#REF!</v>
      </c>
      <c r="J41" s="47" t="e">
        <f>#REF! * ( 1 + $K$3)</f>
        <v>#REF!</v>
      </c>
      <c r="K41" s="47" t="e">
        <f>#REF! * ( 1 + $K$3)</f>
        <v>#REF!</v>
      </c>
      <c r="L41" s="47" t="e">
        <f>#REF! * ( 1 + $K$3)</f>
        <v>#REF!</v>
      </c>
      <c r="M41" s="47" t="e">
        <f>#REF! * ( 1 + $K$3)</f>
        <v>#REF!</v>
      </c>
      <c r="N41" s="47" t="e">
        <f>#REF! * ( 1 + $K$3)</f>
        <v>#REF!</v>
      </c>
      <c r="O41" s="40" t="e">
        <f t="shared" si="21"/>
        <v>#REF!</v>
      </c>
      <c r="P41" s="38"/>
      <c r="Q41" s="22"/>
    </row>
    <row r="42" spans="1:17">
      <c r="A42" s="333"/>
      <c r="B42" s="336"/>
      <c r="C42" s="339"/>
      <c r="D42" s="342"/>
      <c r="E42" s="30" t="s">
        <v>33</v>
      </c>
      <c r="F42" s="47" t="e">
        <f>SUM(F38:F41)</f>
        <v>#REF!</v>
      </c>
      <c r="G42" s="47" t="e">
        <f t="shared" ref="G42:H42" si="22">SUM(G38:G41)</f>
        <v>#REF!</v>
      </c>
      <c r="H42" s="47" t="e">
        <f t="shared" si="22"/>
        <v>#REF!</v>
      </c>
      <c r="I42" s="47"/>
      <c r="J42" s="47" t="e">
        <f t="shared" ref="J42" si="23">SUM(J38:J41)</f>
        <v>#REF!</v>
      </c>
      <c r="K42" s="50"/>
      <c r="L42" s="47" t="e">
        <f t="shared" ref="L42:N42" si="24">SUM(L38:L41)</f>
        <v>#REF!</v>
      </c>
      <c r="M42" s="47" t="e">
        <f t="shared" si="24"/>
        <v>#REF!</v>
      </c>
      <c r="N42" s="47" t="e">
        <f t="shared" si="24"/>
        <v>#REF!</v>
      </c>
      <c r="O42" s="40" t="e">
        <f>SUM(F42:N42)</f>
        <v>#REF!</v>
      </c>
      <c r="P42" s="38"/>
      <c r="Q42" s="22"/>
    </row>
    <row r="43" spans="1:17">
      <c r="A43" s="319" t="s">
        <v>6</v>
      </c>
      <c r="B43" s="322">
        <f>SUM(B13:B38)</f>
        <v>27313.32</v>
      </c>
      <c r="C43" s="325">
        <f>SUM(C13:C38)</f>
        <v>1</v>
      </c>
      <c r="D43" s="328" t="e">
        <f>SUM(D12:D42)</f>
        <v>#REF!</v>
      </c>
      <c r="E43" s="84" t="s">
        <v>69</v>
      </c>
      <c r="F43" s="86" t="e">
        <f xml:space="preserve"> F13 + F18 + F23 + F28 + F33 + F38</f>
        <v>#REF!</v>
      </c>
      <c r="G43" s="86" t="e">
        <f t="shared" ref="G43:O43" si="25" xml:space="preserve"> G13 + G18 + G23 + G28 + G33 + G38</f>
        <v>#REF!</v>
      </c>
      <c r="H43" s="86" t="e">
        <f t="shared" si="25"/>
        <v>#REF!</v>
      </c>
      <c r="I43" s="86"/>
      <c r="J43" s="86" t="e">
        <f t="shared" si="25"/>
        <v>#REF!</v>
      </c>
      <c r="K43" s="86" t="e">
        <f t="shared" si="25"/>
        <v>#REF!</v>
      </c>
      <c r="L43" s="86" t="e">
        <f t="shared" si="25"/>
        <v>#REF!</v>
      </c>
      <c r="M43" s="86" t="e">
        <f t="shared" si="25"/>
        <v>#REF!</v>
      </c>
      <c r="N43" s="86" t="e">
        <f t="shared" si="25"/>
        <v>#REF!</v>
      </c>
      <c r="O43" s="85" t="e">
        <f t="shared" si="25"/>
        <v>#REF!</v>
      </c>
      <c r="P43" s="38" t="e">
        <f t="shared" si="2"/>
        <v>#REF!</v>
      </c>
      <c r="Q43" s="22"/>
    </row>
    <row r="44" spans="1:17">
      <c r="A44" s="320"/>
      <c r="B44" s="323"/>
      <c r="C44" s="326"/>
      <c r="D44" s="329"/>
      <c r="E44" s="84" t="s">
        <v>66</v>
      </c>
      <c r="F44" s="86" t="e">
        <f t="shared" ref="F44:O46" si="26" xml:space="preserve"> F14 + F19 + F24 + F29 + F34 + F39</f>
        <v>#REF!</v>
      </c>
      <c r="G44" s="86" t="e">
        <f t="shared" si="26"/>
        <v>#REF!</v>
      </c>
      <c r="H44" s="86" t="e">
        <f t="shared" si="26"/>
        <v>#REF!</v>
      </c>
      <c r="I44" s="86"/>
      <c r="J44" s="86">
        <f t="shared" si="26"/>
        <v>0</v>
      </c>
      <c r="K44" s="86">
        <f t="shared" si="26"/>
        <v>0</v>
      </c>
      <c r="L44" s="86">
        <f t="shared" si="26"/>
        <v>0</v>
      </c>
      <c r="M44" s="86">
        <f t="shared" si="26"/>
        <v>0</v>
      </c>
      <c r="N44" s="86">
        <f t="shared" si="26"/>
        <v>0</v>
      </c>
      <c r="O44" s="85" t="e">
        <f t="shared" si="26"/>
        <v>#REF!</v>
      </c>
      <c r="P44" s="38"/>
      <c r="Q44" s="22"/>
    </row>
    <row r="45" spans="1:17">
      <c r="A45" s="320"/>
      <c r="B45" s="323"/>
      <c r="C45" s="326"/>
      <c r="D45" s="329"/>
      <c r="E45" s="84" t="s">
        <v>67</v>
      </c>
      <c r="F45" s="86" t="e">
        <f t="shared" si="26"/>
        <v>#REF!</v>
      </c>
      <c r="G45" s="86" t="e">
        <f t="shared" si="26"/>
        <v>#REF!</v>
      </c>
      <c r="H45" s="86" t="e">
        <f t="shared" si="26"/>
        <v>#REF!</v>
      </c>
      <c r="I45" s="86"/>
      <c r="J45" s="86" t="e">
        <f t="shared" si="26"/>
        <v>#REF!</v>
      </c>
      <c r="K45" s="86" t="e">
        <f t="shared" si="26"/>
        <v>#REF!</v>
      </c>
      <c r="L45" s="86" t="e">
        <f t="shared" si="26"/>
        <v>#REF!</v>
      </c>
      <c r="M45" s="86" t="e">
        <f t="shared" si="26"/>
        <v>#REF!</v>
      </c>
      <c r="N45" s="86" t="e">
        <f t="shared" si="26"/>
        <v>#REF!</v>
      </c>
      <c r="O45" s="85" t="e">
        <f t="shared" si="26"/>
        <v>#REF!</v>
      </c>
      <c r="P45" s="38"/>
      <c r="Q45" s="22"/>
    </row>
    <row r="46" spans="1:17">
      <c r="A46" s="320"/>
      <c r="B46" s="323"/>
      <c r="C46" s="326"/>
      <c r="D46" s="329"/>
      <c r="E46" s="84" t="s">
        <v>68</v>
      </c>
      <c r="F46" s="86" t="e">
        <f t="shared" si="26"/>
        <v>#REF!</v>
      </c>
      <c r="G46" s="86" t="e">
        <f t="shared" si="26"/>
        <v>#REF!</v>
      </c>
      <c r="H46" s="86" t="e">
        <f t="shared" si="26"/>
        <v>#REF!</v>
      </c>
      <c r="I46" s="86"/>
      <c r="J46" s="86" t="e">
        <f t="shared" si="26"/>
        <v>#REF!</v>
      </c>
      <c r="K46" s="86" t="e">
        <f t="shared" si="26"/>
        <v>#REF!</v>
      </c>
      <c r="L46" s="86" t="e">
        <f t="shared" si="26"/>
        <v>#REF!</v>
      </c>
      <c r="M46" s="86" t="e">
        <f t="shared" si="26"/>
        <v>#REF!</v>
      </c>
      <c r="N46" s="86" t="e">
        <f t="shared" si="26"/>
        <v>#REF!</v>
      </c>
      <c r="O46" s="85" t="e">
        <f t="shared" si="26"/>
        <v>#REF!</v>
      </c>
      <c r="P46" s="38"/>
      <c r="Q46" s="22"/>
    </row>
    <row r="47" spans="1:17">
      <c r="A47" s="321"/>
      <c r="B47" s="324"/>
      <c r="C47" s="327"/>
      <c r="D47" s="330"/>
      <c r="E47" s="84" t="s">
        <v>33</v>
      </c>
      <c r="F47" s="86" t="e">
        <f>SUM(F43:F46)</f>
        <v>#REF!</v>
      </c>
      <c r="G47" s="86" t="e">
        <f t="shared" ref="G47:O47" si="27">SUM(G43:G46)</f>
        <v>#REF!</v>
      </c>
      <c r="H47" s="86" t="e">
        <f t="shared" si="27"/>
        <v>#REF!</v>
      </c>
      <c r="I47" s="86"/>
      <c r="J47" s="86" t="e">
        <f t="shared" si="27"/>
        <v>#REF!</v>
      </c>
      <c r="K47" s="86" t="e">
        <f t="shared" si="27"/>
        <v>#REF!</v>
      </c>
      <c r="L47" s="86" t="e">
        <f t="shared" si="27"/>
        <v>#REF!</v>
      </c>
      <c r="M47" s="86" t="e">
        <f t="shared" si="27"/>
        <v>#REF!</v>
      </c>
      <c r="N47" s="86" t="e">
        <f t="shared" si="27"/>
        <v>#REF!</v>
      </c>
      <c r="O47" s="85" t="e">
        <f t="shared" si="27"/>
        <v>#REF!</v>
      </c>
      <c r="P47" s="38"/>
      <c r="Q47" s="22"/>
    </row>
    <row r="48" spans="1:17" ht="15">
      <c r="A48" s="87" t="s">
        <v>36</v>
      </c>
      <c r="B48" s="88" t="s">
        <v>21</v>
      </c>
      <c r="C48" s="9"/>
      <c r="D48" s="83" t="e">
        <f>#REF!</f>
        <v>#REF!</v>
      </c>
      <c r="E48" s="30"/>
      <c r="F48" s="47"/>
      <c r="G48" s="47"/>
      <c r="H48" s="47"/>
      <c r="I48" s="47"/>
      <c r="J48" s="47"/>
      <c r="K48" s="50"/>
      <c r="L48" s="47"/>
      <c r="M48" s="47" t="e">
        <f>#REF!</f>
        <v>#REF!</v>
      </c>
      <c r="N48" s="47" t="e">
        <f>#REF!</f>
        <v>#REF!</v>
      </c>
      <c r="O48" s="40" t="e">
        <f t="shared" ref="O48" si="28">SUM(F48:N48)</f>
        <v>#REF!</v>
      </c>
      <c r="P48" s="38" t="e">
        <f t="shared" si="2"/>
        <v>#REF!</v>
      </c>
      <c r="Q48" s="22"/>
    </row>
    <row r="49" spans="1:17">
      <c r="A49" s="331" t="s">
        <v>7</v>
      </c>
      <c r="B49" s="334">
        <v>250</v>
      </c>
      <c r="C49" s="337">
        <f>B49/$B$69</f>
        <v>8.6595081399376522E-2</v>
      </c>
      <c r="D49" s="340" t="e">
        <f xml:space="preserve"> $D$48 * C49</f>
        <v>#REF!</v>
      </c>
      <c r="E49" s="30" t="s">
        <v>69</v>
      </c>
      <c r="F49" s="47" t="e">
        <f>#REF!</f>
        <v>#REF!</v>
      </c>
      <c r="G49" s="47" t="e">
        <f>#REF!</f>
        <v>#REF!</v>
      </c>
      <c r="H49" s="47" t="e">
        <f>#REF!</f>
        <v>#REF!</v>
      </c>
      <c r="I49" s="47" t="e">
        <f>#REF!</f>
        <v>#REF!</v>
      </c>
      <c r="J49" s="47" t="e">
        <f>#REF!</f>
        <v>#REF!</v>
      </c>
      <c r="K49" s="47" t="e">
        <f>#REF!</f>
        <v>#REF!</v>
      </c>
      <c r="L49" s="47" t="e">
        <f>#REF!</f>
        <v>#REF!</v>
      </c>
      <c r="M49" s="47" t="e">
        <f>#REF!</f>
        <v>#REF!</v>
      </c>
      <c r="N49" s="47" t="e">
        <f>#REF!</f>
        <v>#REF!</v>
      </c>
      <c r="O49" s="40" t="e">
        <f t="shared" ref="O49:O52" si="29">SUM(F49:N49)</f>
        <v>#REF!</v>
      </c>
      <c r="P49" s="38" t="e">
        <f t="shared" si="2"/>
        <v>#REF!</v>
      </c>
      <c r="Q49" s="22"/>
    </row>
    <row r="50" spans="1:17">
      <c r="A50" s="332"/>
      <c r="B50" s="335"/>
      <c r="C50" s="338"/>
      <c r="D50" s="341"/>
      <c r="E50" s="30" t="s">
        <v>66</v>
      </c>
      <c r="F50" s="47" t="e">
        <f>#REF!</f>
        <v>#REF!</v>
      </c>
      <c r="G50" s="47" t="e">
        <f>#REF!</f>
        <v>#REF!</v>
      </c>
      <c r="H50" s="47" t="e">
        <f>#REF!</f>
        <v>#REF!</v>
      </c>
      <c r="I50" s="47" t="e">
        <f xml:space="preserve"> ( $D$49 * $E$3)</f>
        <v>#REF!</v>
      </c>
      <c r="J50" s="47" t="e">
        <f>#REF!</f>
        <v>#REF!</v>
      </c>
      <c r="K50" s="47" t="e">
        <f>#REF!</f>
        <v>#REF!</v>
      </c>
      <c r="L50" s="47" t="e">
        <f>#REF!</f>
        <v>#REF!</v>
      </c>
      <c r="M50" s="47" t="e">
        <f>#REF!</f>
        <v>#REF!</v>
      </c>
      <c r="N50" s="47" t="e">
        <f>#REF!</f>
        <v>#REF!</v>
      </c>
      <c r="O50" s="40" t="e">
        <f t="shared" si="29"/>
        <v>#REF!</v>
      </c>
      <c r="P50" s="38"/>
      <c r="Q50" s="22"/>
    </row>
    <row r="51" spans="1:17">
      <c r="A51" s="332"/>
      <c r="B51" s="335"/>
      <c r="C51" s="338"/>
      <c r="D51" s="341"/>
      <c r="E51" s="30" t="s">
        <v>67</v>
      </c>
      <c r="F51" s="47" t="e">
        <f>#REF!  *( 1 + $I$3 )</f>
        <v>#REF!</v>
      </c>
      <c r="G51" s="47" t="e">
        <f>#REF!  *( 1 + $I$3 )</f>
        <v>#REF!</v>
      </c>
      <c r="H51" s="47" t="e">
        <f>#REF!  *( 1 + $I$3 )</f>
        <v>#REF!</v>
      </c>
      <c r="I51" s="47" t="e">
        <f>#REF!  *( 1 + $I$3 )</f>
        <v>#REF!</v>
      </c>
      <c r="J51" s="47" t="e">
        <f>#REF!  *( 1 + $I$3 )</f>
        <v>#REF!</v>
      </c>
      <c r="K51" s="47" t="e">
        <f xml:space="preserve"> (#REF! +#REF! * 35% )  * ( 1 +  $I$3 )</f>
        <v>#REF!</v>
      </c>
      <c r="L51" s="47" t="e">
        <f>#REF!  *( 1 + $I$3 )</f>
        <v>#REF!</v>
      </c>
      <c r="M51" s="47" t="e">
        <f>#REF!  *( 1 + $I$3 )</f>
        <v>#REF!</v>
      </c>
      <c r="N51" s="47" t="e">
        <f>#REF!  *( 1 + $I$3 )</f>
        <v>#REF!</v>
      </c>
      <c r="O51" s="40" t="e">
        <f t="shared" si="29"/>
        <v>#REF!</v>
      </c>
      <c r="P51" s="38"/>
      <c r="Q51" s="22"/>
    </row>
    <row r="52" spans="1:17">
      <c r="A52" s="332"/>
      <c r="B52" s="335"/>
      <c r="C52" s="338"/>
      <c r="D52" s="341"/>
      <c r="E52" s="30" t="s">
        <v>68</v>
      </c>
      <c r="F52" s="47" t="e">
        <f>#REF! * ( 1 + $K$3)</f>
        <v>#REF!</v>
      </c>
      <c r="G52" s="47" t="e">
        <f>#REF! * ( 1 + $K$3)</f>
        <v>#REF!</v>
      </c>
      <c r="H52" s="47" t="e">
        <f>#REF! * ( 1 + $K$3)</f>
        <v>#REF!</v>
      </c>
      <c r="I52" s="47" t="e">
        <f>#REF! * ( 1 + $K$3)</f>
        <v>#REF!</v>
      </c>
      <c r="J52" s="47" t="e">
        <f>#REF! * ( 1 + $K$3)</f>
        <v>#REF!</v>
      </c>
      <c r="K52" s="47" t="e">
        <f xml:space="preserve"> (#REF! +#REF! * 65% )  * ( 1 +  $I$3 )</f>
        <v>#REF!</v>
      </c>
      <c r="L52" s="47" t="e">
        <f>#REF! * ( 1 + $K$3)</f>
        <v>#REF!</v>
      </c>
      <c r="M52" s="47" t="e">
        <f>#REF! * ( 1 + $K$3)</f>
        <v>#REF!</v>
      </c>
      <c r="N52" s="47" t="e">
        <f>#REF! * ( 1 + $K$3)</f>
        <v>#REF!</v>
      </c>
      <c r="O52" s="40" t="e">
        <f t="shared" si="29"/>
        <v>#REF!</v>
      </c>
      <c r="P52" s="38"/>
      <c r="Q52" s="22"/>
    </row>
    <row r="53" spans="1:17">
      <c r="A53" s="333"/>
      <c r="B53" s="336"/>
      <c r="C53" s="339"/>
      <c r="D53" s="342"/>
      <c r="E53" s="30" t="s">
        <v>33</v>
      </c>
      <c r="F53" s="47" t="e">
        <f>SUM(F49:F52)</f>
        <v>#REF!</v>
      </c>
      <c r="G53" s="47"/>
      <c r="H53" s="47"/>
      <c r="I53" s="47" t="e">
        <f t="shared" ref="I53:K53" si="30">SUM(I49:I52)</f>
        <v>#REF!</v>
      </c>
      <c r="J53" s="47" t="e">
        <f t="shared" si="30"/>
        <v>#REF!</v>
      </c>
      <c r="K53" s="47" t="e">
        <f t="shared" si="30"/>
        <v>#REF!</v>
      </c>
      <c r="L53" s="47" t="e">
        <f t="shared" ref="L53:N53" si="31">SUM(L49:L52)</f>
        <v>#REF!</v>
      </c>
      <c r="M53" s="47" t="e">
        <f t="shared" si="31"/>
        <v>#REF!</v>
      </c>
      <c r="N53" s="47" t="e">
        <f t="shared" si="31"/>
        <v>#REF!</v>
      </c>
      <c r="O53" s="40" t="e">
        <f>SUM(F53:N53)</f>
        <v>#REF!</v>
      </c>
      <c r="P53" s="38"/>
      <c r="Q53" s="22"/>
    </row>
    <row r="54" spans="1:17">
      <c r="A54" s="331" t="s">
        <v>8</v>
      </c>
      <c r="B54" s="334">
        <v>255</v>
      </c>
      <c r="C54" s="337">
        <f>B54/$B$69</f>
        <v>8.8326983027364039E-2</v>
      </c>
      <c r="D54" s="340" t="e">
        <f t="shared" ref="D54" si="32" xml:space="preserve"> $D$48 * C54</f>
        <v>#REF!</v>
      </c>
      <c r="E54" s="30" t="s">
        <v>69</v>
      </c>
      <c r="F54" s="47" t="e">
        <f>#REF!</f>
        <v>#REF!</v>
      </c>
      <c r="G54" s="47" t="e">
        <f>#REF!</f>
        <v>#REF!</v>
      </c>
      <c r="H54" s="47" t="e">
        <f>#REF!</f>
        <v>#REF!</v>
      </c>
      <c r="I54" s="47" t="e">
        <f>#REF!</f>
        <v>#REF!</v>
      </c>
      <c r="J54" s="47" t="e">
        <f>#REF!</f>
        <v>#REF!</v>
      </c>
      <c r="K54" s="47" t="e">
        <f>#REF!</f>
        <v>#REF!</v>
      </c>
      <c r="L54" s="47" t="e">
        <f>#REF!</f>
        <v>#REF!</v>
      </c>
      <c r="M54" s="47" t="e">
        <f>#REF!</f>
        <v>#REF!</v>
      </c>
      <c r="N54" s="47" t="e">
        <f>#REF!</f>
        <v>#REF!</v>
      </c>
      <c r="O54" s="40" t="e">
        <f t="shared" ref="O54:O57" si="33">SUM(F54:N54)</f>
        <v>#REF!</v>
      </c>
      <c r="P54" s="38" t="e">
        <f t="shared" si="2"/>
        <v>#REF!</v>
      </c>
      <c r="Q54" s="22"/>
    </row>
    <row r="55" spans="1:17">
      <c r="A55" s="332"/>
      <c r="B55" s="335"/>
      <c r="C55" s="338"/>
      <c r="D55" s="341"/>
      <c r="E55" s="30" t="s">
        <v>66</v>
      </c>
      <c r="F55" s="47" t="e">
        <f>#REF!</f>
        <v>#REF!</v>
      </c>
      <c r="G55" s="47" t="e">
        <f>#REF!</f>
        <v>#REF!</v>
      </c>
      <c r="H55" s="47" t="e">
        <f>#REF!</f>
        <v>#REF!</v>
      </c>
      <c r="I55" s="47" t="e">
        <f xml:space="preserve"> ( $D$54 * $E$3)</f>
        <v>#REF!</v>
      </c>
      <c r="J55" s="47" t="e">
        <f>#REF!</f>
        <v>#REF!</v>
      </c>
      <c r="K55" s="47" t="e">
        <f>#REF!</f>
        <v>#REF!</v>
      </c>
      <c r="L55" s="47" t="e">
        <f>#REF!</f>
        <v>#REF!</v>
      </c>
      <c r="M55" s="47" t="e">
        <f>#REF!</f>
        <v>#REF!</v>
      </c>
      <c r="N55" s="47" t="e">
        <f>#REF!</f>
        <v>#REF!</v>
      </c>
      <c r="O55" s="40" t="e">
        <f t="shared" si="33"/>
        <v>#REF!</v>
      </c>
      <c r="P55" s="38"/>
      <c r="Q55" s="22"/>
    </row>
    <row r="56" spans="1:17">
      <c r="A56" s="332"/>
      <c r="B56" s="335"/>
      <c r="C56" s="338"/>
      <c r="D56" s="341"/>
      <c r="E56" s="30" t="s">
        <v>67</v>
      </c>
      <c r="F56" s="47" t="e">
        <f>#REF!  *( 1 + $I$3 )</f>
        <v>#REF!</v>
      </c>
      <c r="G56" s="47" t="e">
        <f>#REF!  *( 1 + $I$3 )</f>
        <v>#REF!</v>
      </c>
      <c r="H56" s="47" t="e">
        <f>#REF!  *( 1 + $I$3 )</f>
        <v>#REF!</v>
      </c>
      <c r="I56" s="47" t="e">
        <f>#REF!  *( 1 + $I$3 )</f>
        <v>#REF!</v>
      </c>
      <c r="J56" s="47" t="e">
        <f>#REF!  *( 1 + $I$3 )</f>
        <v>#REF!</v>
      </c>
      <c r="K56" s="47" t="e">
        <f xml:space="preserve"> (#REF! +#REF! * 35% )  * ( 1 +  $I$3 )</f>
        <v>#REF!</v>
      </c>
      <c r="L56" s="47" t="e">
        <f>#REF!  *( 1 + $I$3 )</f>
        <v>#REF!</v>
      </c>
      <c r="M56" s="47" t="e">
        <f>#REF!  *( 1 + $I$3 )</f>
        <v>#REF!</v>
      </c>
      <c r="N56" s="47" t="e">
        <f>#REF!  *( 1 + $I$3 )</f>
        <v>#REF!</v>
      </c>
      <c r="O56" s="40" t="e">
        <f t="shared" si="33"/>
        <v>#REF!</v>
      </c>
      <c r="P56" s="38"/>
      <c r="Q56" s="22"/>
    </row>
    <row r="57" spans="1:17">
      <c r="A57" s="332"/>
      <c r="B57" s="335"/>
      <c r="C57" s="338"/>
      <c r="D57" s="341"/>
      <c r="E57" s="30" t="s">
        <v>68</v>
      </c>
      <c r="F57" s="47" t="e">
        <f>#REF! * ( 1 + $K$3)</f>
        <v>#REF!</v>
      </c>
      <c r="G57" s="47" t="e">
        <f>#REF! * ( 1 + $K$3)</f>
        <v>#REF!</v>
      </c>
      <c r="H57" s="47" t="e">
        <f>#REF! * ( 1 + $K$3)</f>
        <v>#REF!</v>
      </c>
      <c r="I57" s="47" t="e">
        <f>#REF! * ( 1 + $K$3)</f>
        <v>#REF!</v>
      </c>
      <c r="J57" s="47" t="e">
        <f>#REF! * ( 1 + $K$3)</f>
        <v>#REF!</v>
      </c>
      <c r="K57" s="47" t="e">
        <f xml:space="preserve"> (#REF! +#REF! * 65% )  * ( 1 +  $I$3 )</f>
        <v>#REF!</v>
      </c>
      <c r="L57" s="47" t="e">
        <f>#REF! * ( 1 + $K$3)</f>
        <v>#REF!</v>
      </c>
      <c r="M57" s="47" t="e">
        <f>#REF! * ( 1 + $K$3)</f>
        <v>#REF!</v>
      </c>
      <c r="N57" s="47" t="e">
        <f>#REF! * ( 1 + $K$3)</f>
        <v>#REF!</v>
      </c>
      <c r="O57" s="40" t="e">
        <f t="shared" si="33"/>
        <v>#REF!</v>
      </c>
      <c r="P57" s="38"/>
      <c r="Q57" s="22"/>
    </row>
    <row r="58" spans="1:17">
      <c r="A58" s="333"/>
      <c r="B58" s="336"/>
      <c r="C58" s="339"/>
      <c r="D58" s="342"/>
      <c r="E58" s="30" t="s">
        <v>33</v>
      </c>
      <c r="F58" s="47" t="e">
        <f>SUM(F54:F57)</f>
        <v>#REF!</v>
      </c>
      <c r="G58" s="47"/>
      <c r="H58" s="47"/>
      <c r="I58" s="47" t="e">
        <f t="shared" ref="I58" si="34">SUM(I54:I57)</f>
        <v>#REF!</v>
      </c>
      <c r="J58" s="47"/>
      <c r="K58" s="50" t="e">
        <f t="shared" ref="K58:N58" si="35">SUM(K54:K57)</f>
        <v>#REF!</v>
      </c>
      <c r="L58" s="47" t="e">
        <f t="shared" si="35"/>
        <v>#REF!</v>
      </c>
      <c r="M58" s="47" t="e">
        <f t="shared" si="35"/>
        <v>#REF!</v>
      </c>
      <c r="N58" s="47" t="e">
        <f t="shared" si="35"/>
        <v>#REF!</v>
      </c>
      <c r="O58" s="40" t="e">
        <f>SUM(F58:N58)</f>
        <v>#REF!</v>
      </c>
      <c r="P58" s="38"/>
      <c r="Q58" s="22"/>
    </row>
    <row r="59" spans="1:17">
      <c r="A59" s="331" t="s">
        <v>55</v>
      </c>
      <c r="B59" s="334">
        <v>887</v>
      </c>
      <c r="C59" s="337">
        <f>B59/$B$69</f>
        <v>0.30723934880498788</v>
      </c>
      <c r="D59" s="340" t="e">
        <f t="shared" ref="D59" si="36" xml:space="preserve"> $D$48 * C59</f>
        <v>#REF!</v>
      </c>
      <c r="E59" s="30" t="s">
        <v>69</v>
      </c>
      <c r="F59" s="47" t="e">
        <f>#REF!</f>
        <v>#REF!</v>
      </c>
      <c r="G59" s="47" t="e">
        <f>#REF!</f>
        <v>#REF!</v>
      </c>
      <c r="H59" s="47" t="e">
        <f>#REF!</f>
        <v>#REF!</v>
      </c>
      <c r="I59" s="47" t="e">
        <f>#REF!</f>
        <v>#REF!</v>
      </c>
      <c r="J59" s="47" t="e">
        <f>#REF!</f>
        <v>#REF!</v>
      </c>
      <c r="K59" s="47" t="e">
        <f>#REF!</f>
        <v>#REF!</v>
      </c>
      <c r="L59" s="47" t="e">
        <f>#REF!</f>
        <v>#REF!</v>
      </c>
      <c r="M59" s="47" t="e">
        <f>#REF!</f>
        <v>#REF!</v>
      </c>
      <c r="N59" s="47" t="e">
        <f>#REF!</f>
        <v>#REF!</v>
      </c>
      <c r="O59" s="40" t="e">
        <f t="shared" ref="O59:O62" si="37">SUM(F59:N59)</f>
        <v>#REF!</v>
      </c>
      <c r="P59" s="38" t="e">
        <f t="shared" si="2"/>
        <v>#REF!</v>
      </c>
      <c r="Q59" s="22"/>
    </row>
    <row r="60" spans="1:17">
      <c r="A60" s="332"/>
      <c r="B60" s="335"/>
      <c r="C60" s="338"/>
      <c r="D60" s="341"/>
      <c r="E60" s="30" t="s">
        <v>66</v>
      </c>
      <c r="F60" s="47" t="e">
        <f>#REF!</f>
        <v>#REF!</v>
      </c>
      <c r="G60" s="47" t="e">
        <f>#REF!</f>
        <v>#REF!</v>
      </c>
      <c r="H60" s="47" t="e">
        <f>#REF!</f>
        <v>#REF!</v>
      </c>
      <c r="I60" s="47" t="e">
        <f xml:space="preserve"> ( $D$59 * $E$3)</f>
        <v>#REF!</v>
      </c>
      <c r="J60" s="47" t="e">
        <f>#REF!</f>
        <v>#REF!</v>
      </c>
      <c r="K60" s="47" t="e">
        <f>#REF!</f>
        <v>#REF!</v>
      </c>
      <c r="L60" s="47" t="e">
        <f>#REF!</f>
        <v>#REF!</v>
      </c>
      <c r="M60" s="47" t="e">
        <f>#REF!</f>
        <v>#REF!</v>
      </c>
      <c r="N60" s="47" t="e">
        <f>#REF!</f>
        <v>#REF!</v>
      </c>
      <c r="O60" s="40" t="e">
        <f t="shared" si="37"/>
        <v>#REF!</v>
      </c>
      <c r="P60" s="38"/>
      <c r="Q60" s="22"/>
    </row>
    <row r="61" spans="1:17">
      <c r="A61" s="332"/>
      <c r="B61" s="335"/>
      <c r="C61" s="338"/>
      <c r="D61" s="341"/>
      <c r="E61" s="30" t="s">
        <v>67</v>
      </c>
      <c r="F61" s="47" t="e">
        <f>#REF!  *( 1 + $I$3 )</f>
        <v>#REF!</v>
      </c>
      <c r="G61" s="47" t="e">
        <f>#REF!  *( 1 + $I$3 )</f>
        <v>#REF!</v>
      </c>
      <c r="H61" s="47" t="e">
        <f>#REF!  *( 1 + $I$3 )</f>
        <v>#REF!</v>
      </c>
      <c r="I61" s="47" t="e">
        <f>#REF!  *( 1 + $I$3 )</f>
        <v>#REF!</v>
      </c>
      <c r="J61" s="47" t="e">
        <f>#REF!  *( 1 + $I$3 )</f>
        <v>#REF!</v>
      </c>
      <c r="K61" s="47" t="e">
        <f xml:space="preserve"> (#REF! +#REF! * 35% )  * ( 1 +  $I$3 )</f>
        <v>#REF!</v>
      </c>
      <c r="L61" s="47" t="e">
        <f>#REF!  *( 1 + $I$3 )</f>
        <v>#REF!</v>
      </c>
      <c r="M61" s="47" t="e">
        <f>#REF!  *( 1 + $I$3 )</f>
        <v>#REF!</v>
      </c>
      <c r="N61" s="47" t="e">
        <f>#REF!  *( 1 + $I$3 )</f>
        <v>#REF!</v>
      </c>
      <c r="O61" s="40" t="e">
        <f t="shared" si="37"/>
        <v>#REF!</v>
      </c>
      <c r="P61" s="38"/>
      <c r="Q61" s="22"/>
    </row>
    <row r="62" spans="1:17">
      <c r="A62" s="332"/>
      <c r="B62" s="335"/>
      <c r="C62" s="338"/>
      <c r="D62" s="341"/>
      <c r="E62" s="30" t="s">
        <v>68</v>
      </c>
      <c r="F62" s="47" t="e">
        <f>#REF! * ( 1 + $K$3)</f>
        <v>#REF!</v>
      </c>
      <c r="G62" s="47" t="e">
        <f>#REF! * ( 1 + $K$3)</f>
        <v>#REF!</v>
      </c>
      <c r="H62" s="47" t="e">
        <f>#REF! * ( 1 + $K$3)</f>
        <v>#REF!</v>
      </c>
      <c r="I62" s="47" t="e">
        <f>#REF! * ( 1 + $K$3)</f>
        <v>#REF!</v>
      </c>
      <c r="J62" s="47" t="e">
        <f>#REF! * ( 1 + $K$3)</f>
        <v>#REF!</v>
      </c>
      <c r="K62" s="47" t="e">
        <f xml:space="preserve"> (#REF! +#REF! * 65% )  * ( 1 +  $I$3 )</f>
        <v>#REF!</v>
      </c>
      <c r="L62" s="47" t="e">
        <f>#REF! * ( 1 + $K$3)</f>
        <v>#REF!</v>
      </c>
      <c r="M62" s="47" t="e">
        <f>#REF! * ( 1 + $K$3)</f>
        <v>#REF!</v>
      </c>
      <c r="N62" s="47" t="e">
        <f>#REF! * ( 1 + $K$3)</f>
        <v>#REF!</v>
      </c>
      <c r="O62" s="40" t="e">
        <f t="shared" si="37"/>
        <v>#REF!</v>
      </c>
      <c r="P62" s="38"/>
      <c r="Q62" s="22"/>
    </row>
    <row r="63" spans="1:17">
      <c r="A63" s="333"/>
      <c r="B63" s="336"/>
      <c r="C63" s="339"/>
      <c r="D63" s="342"/>
      <c r="E63" s="30" t="s">
        <v>33</v>
      </c>
      <c r="F63" s="47" t="e">
        <f>SUM(F59:F62)</f>
        <v>#REF!</v>
      </c>
      <c r="G63" s="47"/>
      <c r="H63" s="47"/>
      <c r="I63" s="47" t="e">
        <f t="shared" ref="I63" si="38">SUM(I59:I62)</f>
        <v>#REF!</v>
      </c>
      <c r="J63" s="47"/>
      <c r="K63" s="50" t="e">
        <f t="shared" ref="K63:N63" si="39">SUM(K59:K62)</f>
        <v>#REF!</v>
      </c>
      <c r="L63" s="47" t="e">
        <f t="shared" si="39"/>
        <v>#REF!</v>
      </c>
      <c r="M63" s="47" t="e">
        <f t="shared" si="39"/>
        <v>#REF!</v>
      </c>
      <c r="N63" s="47" t="e">
        <f t="shared" si="39"/>
        <v>#REF!</v>
      </c>
      <c r="O63" s="40" t="e">
        <f>SUM(F63:N63)</f>
        <v>#REF!</v>
      </c>
      <c r="P63" s="38"/>
      <c r="Q63" s="22"/>
    </row>
    <row r="64" spans="1:17">
      <c r="A64" s="331" t="s">
        <v>9</v>
      </c>
      <c r="B64" s="334">
        <v>1495</v>
      </c>
      <c r="C64" s="337">
        <f>B64/$B$69</f>
        <v>0.51783858676827155</v>
      </c>
      <c r="D64" s="340" t="e">
        <f t="shared" ref="D64" si="40" xml:space="preserve"> $D$48 * C64</f>
        <v>#REF!</v>
      </c>
      <c r="E64" s="30" t="s">
        <v>69</v>
      </c>
      <c r="F64" s="47" t="e">
        <f>#REF!</f>
        <v>#REF!</v>
      </c>
      <c r="G64" s="47" t="e">
        <f>#REF!</f>
        <v>#REF!</v>
      </c>
      <c r="H64" s="47" t="e">
        <f>#REF!</f>
        <v>#REF!</v>
      </c>
      <c r="I64" s="47" t="e">
        <f>#REF!</f>
        <v>#REF!</v>
      </c>
      <c r="J64" s="47" t="e">
        <f>#REF!</f>
        <v>#REF!</v>
      </c>
      <c r="K64" s="47" t="e">
        <f>#REF!</f>
        <v>#REF!</v>
      </c>
      <c r="L64" s="47" t="e">
        <f>#REF!</f>
        <v>#REF!</v>
      </c>
      <c r="M64" s="47" t="e">
        <f>#REF!</f>
        <v>#REF!</v>
      </c>
      <c r="N64" s="47" t="e">
        <f>#REF!</f>
        <v>#REF!</v>
      </c>
      <c r="O64" s="40" t="e">
        <f t="shared" ref="O64:O67" si="41">SUM(F64:N64)</f>
        <v>#REF!</v>
      </c>
      <c r="P64" s="38" t="e">
        <f t="shared" si="2"/>
        <v>#REF!</v>
      </c>
      <c r="Q64" s="22"/>
    </row>
    <row r="65" spans="1:19">
      <c r="A65" s="332"/>
      <c r="B65" s="335"/>
      <c r="C65" s="338"/>
      <c r="D65" s="341"/>
      <c r="E65" s="30" t="s">
        <v>66</v>
      </c>
      <c r="F65" s="47" t="e">
        <f>#REF!</f>
        <v>#REF!</v>
      </c>
      <c r="G65" s="47" t="e">
        <f>#REF!</f>
        <v>#REF!</v>
      </c>
      <c r="H65" s="47" t="e">
        <f>#REF!</f>
        <v>#REF!</v>
      </c>
      <c r="I65" s="47" t="e">
        <f xml:space="preserve"> ( $D$64 * $E$3)</f>
        <v>#REF!</v>
      </c>
      <c r="J65" s="47" t="e">
        <f>#REF!</f>
        <v>#REF!</v>
      </c>
      <c r="K65" s="47" t="e">
        <f>#REF!</f>
        <v>#REF!</v>
      </c>
      <c r="L65" s="47" t="e">
        <f>#REF!</f>
        <v>#REF!</v>
      </c>
      <c r="M65" s="47" t="e">
        <f>#REF!</f>
        <v>#REF!</v>
      </c>
      <c r="N65" s="47" t="e">
        <f>#REF!</f>
        <v>#REF!</v>
      </c>
      <c r="O65" s="40" t="e">
        <f t="shared" si="41"/>
        <v>#REF!</v>
      </c>
      <c r="P65" s="38"/>
      <c r="Q65" s="22"/>
    </row>
    <row r="66" spans="1:19">
      <c r="A66" s="332"/>
      <c r="B66" s="335"/>
      <c r="C66" s="338"/>
      <c r="D66" s="341"/>
      <c r="E66" s="30" t="s">
        <v>67</v>
      </c>
      <c r="F66" s="47" t="e">
        <f>#REF!  *( 1 + $I$3 )</f>
        <v>#REF!</v>
      </c>
      <c r="G66" s="47" t="e">
        <f>#REF!  *( 1 + $I$3 )</f>
        <v>#REF!</v>
      </c>
      <c r="H66" s="47" t="e">
        <f>#REF!  *( 1 + $I$3 )</f>
        <v>#REF!</v>
      </c>
      <c r="I66" s="47" t="e">
        <f>#REF!  *( 1 + $I$3 )</f>
        <v>#REF!</v>
      </c>
      <c r="J66" s="47" t="e">
        <f>#REF!  *( 1 + $I$3 )</f>
        <v>#REF!</v>
      </c>
      <c r="K66" s="47" t="e">
        <f xml:space="preserve"> (#REF! +#REF! * 35% )  * ( 1 +  $I$3 )</f>
        <v>#REF!</v>
      </c>
      <c r="L66" s="47" t="e">
        <f>#REF!  *( 1 + $I$3 )</f>
        <v>#REF!</v>
      </c>
      <c r="M66" s="47" t="e">
        <f>#REF!  *( 1 + $I$3 )</f>
        <v>#REF!</v>
      </c>
      <c r="N66" s="47" t="e">
        <f>#REF!  *( 1 + $I$3 )</f>
        <v>#REF!</v>
      </c>
      <c r="O66" s="40" t="e">
        <f t="shared" si="41"/>
        <v>#REF!</v>
      </c>
      <c r="P66" s="38"/>
      <c r="Q66" s="22"/>
    </row>
    <row r="67" spans="1:19">
      <c r="A67" s="332"/>
      <c r="B67" s="335"/>
      <c r="C67" s="338"/>
      <c r="D67" s="341"/>
      <c r="E67" s="30" t="s">
        <v>68</v>
      </c>
      <c r="F67" s="47" t="e">
        <f>#REF! * ( 1 + $K$3)</f>
        <v>#REF!</v>
      </c>
      <c r="G67" s="47" t="e">
        <f>#REF! * ( 1 + $K$3)</f>
        <v>#REF!</v>
      </c>
      <c r="H67" s="47" t="e">
        <f>#REF! * ( 1 + $K$3)</f>
        <v>#REF!</v>
      </c>
      <c r="I67" s="47" t="e">
        <f>#REF! * ( 1 + $K$3)</f>
        <v>#REF!</v>
      </c>
      <c r="J67" s="47" t="e">
        <f>#REF! * ( 1 + $K$3)</f>
        <v>#REF!</v>
      </c>
      <c r="K67" s="47" t="e">
        <f xml:space="preserve"> (#REF! +#REF! * 65% )  * ( 1 +  $I$3 )</f>
        <v>#REF!</v>
      </c>
      <c r="L67" s="47" t="e">
        <f>#REF! * ( 1 + $K$3)</f>
        <v>#REF!</v>
      </c>
      <c r="M67" s="47" t="e">
        <f>#REF! * ( 1 + $K$3)</f>
        <v>#REF!</v>
      </c>
      <c r="N67" s="47" t="e">
        <f>#REF! * ( 1 + $K$3)</f>
        <v>#REF!</v>
      </c>
      <c r="O67" s="40" t="e">
        <f t="shared" si="41"/>
        <v>#REF!</v>
      </c>
      <c r="P67" s="38"/>
      <c r="Q67" s="22"/>
    </row>
    <row r="68" spans="1:19">
      <c r="A68" s="333"/>
      <c r="B68" s="336"/>
      <c r="C68" s="339"/>
      <c r="D68" s="342"/>
      <c r="E68" s="30" t="s">
        <v>33</v>
      </c>
      <c r="F68" s="47" t="e">
        <f>SUM(F64:F67)</f>
        <v>#REF!</v>
      </c>
      <c r="G68" s="47"/>
      <c r="H68" s="47"/>
      <c r="I68" s="47" t="e">
        <f t="shared" ref="I68" si="42">SUM(I64:I67)</f>
        <v>#REF!</v>
      </c>
      <c r="J68" s="47"/>
      <c r="K68" s="50" t="e">
        <f t="shared" ref="K68:N68" si="43">SUM(K64:K67)</f>
        <v>#REF!</v>
      </c>
      <c r="L68" s="47" t="e">
        <f t="shared" si="43"/>
        <v>#REF!</v>
      </c>
      <c r="M68" s="47" t="e">
        <f t="shared" si="43"/>
        <v>#REF!</v>
      </c>
      <c r="N68" s="47" t="e">
        <f t="shared" si="43"/>
        <v>#REF!</v>
      </c>
      <c r="O68" s="40" t="e">
        <f>SUM(F68:N68)</f>
        <v>#REF!</v>
      </c>
      <c r="P68" s="38"/>
      <c r="Q68" s="22"/>
    </row>
    <row r="69" spans="1:19" ht="15">
      <c r="A69" s="319" t="s">
        <v>10</v>
      </c>
      <c r="B69" s="322">
        <f>SUM(B49:B64)</f>
        <v>2887</v>
      </c>
      <c r="C69" s="325"/>
      <c r="D69" s="328" t="e">
        <f xml:space="preserve"> D49 + D54 + D59 + D64</f>
        <v>#REF!</v>
      </c>
      <c r="E69" s="84" t="s">
        <v>69</v>
      </c>
      <c r="F69" s="86" t="e">
        <f xml:space="preserve"> F49 + F54 + F59 + F64</f>
        <v>#REF!</v>
      </c>
      <c r="G69" s="86" t="e">
        <f t="shared" ref="G69:O69" si="44" xml:space="preserve"> G49 + G54 + G59 + G64</f>
        <v>#REF!</v>
      </c>
      <c r="H69" s="86" t="e">
        <f t="shared" si="44"/>
        <v>#REF!</v>
      </c>
      <c r="I69" s="86" t="e">
        <f t="shared" si="44"/>
        <v>#REF!</v>
      </c>
      <c r="J69" s="86" t="e">
        <f t="shared" si="44"/>
        <v>#REF!</v>
      </c>
      <c r="K69" s="86" t="e">
        <f t="shared" si="44"/>
        <v>#REF!</v>
      </c>
      <c r="L69" s="86" t="e">
        <f t="shared" si="44"/>
        <v>#REF!</v>
      </c>
      <c r="M69" s="86" t="e">
        <f t="shared" si="44"/>
        <v>#REF!</v>
      </c>
      <c r="N69" s="86" t="e">
        <f t="shared" si="44"/>
        <v>#REF!</v>
      </c>
      <c r="O69" s="85" t="e">
        <f t="shared" si="44"/>
        <v>#REF!</v>
      </c>
      <c r="P69" s="38" t="e">
        <f t="shared" si="2"/>
        <v>#REF!</v>
      </c>
      <c r="Q69" s="24"/>
    </row>
    <row r="70" spans="1:19" ht="15">
      <c r="A70" s="320"/>
      <c r="B70" s="323"/>
      <c r="C70" s="326"/>
      <c r="D70" s="329"/>
      <c r="E70" s="84" t="s">
        <v>66</v>
      </c>
      <c r="F70" s="86" t="e">
        <f t="shared" ref="F70:O73" si="45" xml:space="preserve"> F50 + F55 + F60 + F65</f>
        <v>#REF!</v>
      </c>
      <c r="G70" s="86" t="e">
        <f t="shared" si="45"/>
        <v>#REF!</v>
      </c>
      <c r="H70" s="86" t="e">
        <f t="shared" si="45"/>
        <v>#REF!</v>
      </c>
      <c r="I70" s="86" t="e">
        <f t="shared" si="45"/>
        <v>#REF!</v>
      </c>
      <c r="J70" s="86" t="e">
        <f t="shared" si="45"/>
        <v>#REF!</v>
      </c>
      <c r="K70" s="86" t="e">
        <f t="shared" si="45"/>
        <v>#REF!</v>
      </c>
      <c r="L70" s="86" t="e">
        <f t="shared" si="45"/>
        <v>#REF!</v>
      </c>
      <c r="M70" s="86" t="e">
        <f t="shared" si="45"/>
        <v>#REF!</v>
      </c>
      <c r="N70" s="86" t="e">
        <f t="shared" si="45"/>
        <v>#REF!</v>
      </c>
      <c r="O70" s="85" t="e">
        <f t="shared" si="45"/>
        <v>#REF!</v>
      </c>
      <c r="P70" s="38"/>
      <c r="Q70" s="24"/>
    </row>
    <row r="71" spans="1:19" ht="15">
      <c r="A71" s="320"/>
      <c r="B71" s="323"/>
      <c r="C71" s="326"/>
      <c r="D71" s="329"/>
      <c r="E71" s="84" t="s">
        <v>67</v>
      </c>
      <c r="F71" s="86" t="e">
        <f t="shared" si="45"/>
        <v>#REF!</v>
      </c>
      <c r="G71" s="86" t="e">
        <f t="shared" si="45"/>
        <v>#REF!</v>
      </c>
      <c r="H71" s="86" t="e">
        <f t="shared" si="45"/>
        <v>#REF!</v>
      </c>
      <c r="I71" s="86" t="e">
        <f t="shared" si="45"/>
        <v>#REF!</v>
      </c>
      <c r="J71" s="86" t="e">
        <f t="shared" si="45"/>
        <v>#REF!</v>
      </c>
      <c r="K71" s="86" t="e">
        <f t="shared" si="45"/>
        <v>#REF!</v>
      </c>
      <c r="L71" s="86" t="e">
        <f t="shared" si="45"/>
        <v>#REF!</v>
      </c>
      <c r="M71" s="86" t="e">
        <f t="shared" si="45"/>
        <v>#REF!</v>
      </c>
      <c r="N71" s="86" t="e">
        <f t="shared" si="45"/>
        <v>#REF!</v>
      </c>
      <c r="O71" s="85" t="e">
        <f t="shared" si="45"/>
        <v>#REF!</v>
      </c>
      <c r="P71" s="38"/>
      <c r="Q71" s="24"/>
    </row>
    <row r="72" spans="1:19" ht="15">
      <c r="A72" s="320"/>
      <c r="B72" s="323"/>
      <c r="C72" s="326"/>
      <c r="D72" s="329"/>
      <c r="E72" s="84" t="s">
        <v>68</v>
      </c>
      <c r="F72" s="86" t="e">
        <f t="shared" si="45"/>
        <v>#REF!</v>
      </c>
      <c r="G72" s="86" t="e">
        <f t="shared" si="45"/>
        <v>#REF!</v>
      </c>
      <c r="H72" s="86" t="e">
        <f t="shared" si="45"/>
        <v>#REF!</v>
      </c>
      <c r="I72" s="86" t="e">
        <f t="shared" si="45"/>
        <v>#REF!</v>
      </c>
      <c r="J72" s="86" t="e">
        <f t="shared" si="45"/>
        <v>#REF!</v>
      </c>
      <c r="K72" s="86" t="e">
        <f t="shared" si="45"/>
        <v>#REF!</v>
      </c>
      <c r="L72" s="86" t="e">
        <f t="shared" si="45"/>
        <v>#REF!</v>
      </c>
      <c r="M72" s="86" t="e">
        <f t="shared" si="45"/>
        <v>#REF!</v>
      </c>
      <c r="N72" s="86" t="e">
        <f t="shared" si="45"/>
        <v>#REF!</v>
      </c>
      <c r="O72" s="85" t="e">
        <f t="shared" si="45"/>
        <v>#REF!</v>
      </c>
      <c r="P72" s="38"/>
      <c r="Q72" s="24"/>
    </row>
    <row r="73" spans="1:19">
      <c r="A73" s="321"/>
      <c r="B73" s="324"/>
      <c r="C73" s="327"/>
      <c r="D73" s="330"/>
      <c r="E73" s="84" t="s">
        <v>33</v>
      </c>
      <c r="F73" s="86" t="e">
        <f t="shared" si="45"/>
        <v>#REF!</v>
      </c>
      <c r="G73" s="86">
        <f t="shared" si="45"/>
        <v>0</v>
      </c>
      <c r="H73" s="86">
        <f t="shared" si="45"/>
        <v>0</v>
      </c>
      <c r="I73" s="86" t="e">
        <f t="shared" si="45"/>
        <v>#REF!</v>
      </c>
      <c r="J73" s="86" t="e">
        <f t="shared" si="45"/>
        <v>#REF!</v>
      </c>
      <c r="K73" s="86" t="e">
        <f t="shared" si="45"/>
        <v>#REF!</v>
      </c>
      <c r="L73" s="86" t="e">
        <f t="shared" si="45"/>
        <v>#REF!</v>
      </c>
      <c r="M73" s="86" t="e">
        <f t="shared" si="45"/>
        <v>#REF!</v>
      </c>
      <c r="N73" s="86" t="e">
        <f t="shared" si="45"/>
        <v>#REF!</v>
      </c>
      <c r="O73" s="85" t="e">
        <f t="shared" si="45"/>
        <v>#REF!</v>
      </c>
      <c r="P73" s="38"/>
      <c r="Q73" s="22"/>
    </row>
    <row r="74" spans="1:19" ht="15.75" thickBot="1">
      <c r="A74" s="14" t="s">
        <v>20</v>
      </c>
      <c r="B74" s="15">
        <f>B69+B43</f>
        <v>30200.32</v>
      </c>
      <c r="C74" s="15"/>
      <c r="D74" s="15" t="e">
        <f t="shared" ref="D74" si="46">D69+D43</f>
        <v>#REF!</v>
      </c>
      <c r="E74" s="15"/>
      <c r="F74" s="49" t="e">
        <f xml:space="preserve"> F73 + F47</f>
        <v>#REF!</v>
      </c>
      <c r="G74" s="49" t="e">
        <f t="shared" ref="G74:N74" si="47" xml:space="preserve"> G73 + G47</f>
        <v>#REF!</v>
      </c>
      <c r="H74" s="49" t="e">
        <f t="shared" si="47"/>
        <v>#REF!</v>
      </c>
      <c r="I74" s="49" t="e">
        <f t="shared" si="47"/>
        <v>#REF!</v>
      </c>
      <c r="J74" s="49" t="e">
        <f t="shared" si="47"/>
        <v>#REF!</v>
      </c>
      <c r="K74" s="49" t="e">
        <f t="shared" si="47"/>
        <v>#REF!</v>
      </c>
      <c r="L74" s="49" t="e">
        <f t="shared" si="47"/>
        <v>#REF!</v>
      </c>
      <c r="M74" s="49" t="e">
        <f t="shared" si="47"/>
        <v>#REF!</v>
      </c>
      <c r="N74" s="49" t="e">
        <f t="shared" si="47"/>
        <v>#REF!</v>
      </c>
      <c r="O74" s="41" t="e">
        <f>SUM(F74:N74)</f>
        <v>#REF!</v>
      </c>
      <c r="P74" s="38" t="e">
        <f t="shared" si="2"/>
        <v>#REF!</v>
      </c>
      <c r="Q74" s="25"/>
    </row>
    <row r="75" spans="1:19" s="2" customFormat="1" ht="15" thickTop="1">
      <c r="A75"/>
      <c r="B75"/>
      <c r="F75" s="31"/>
      <c r="Q75" s="16"/>
      <c r="R75"/>
      <c r="S75"/>
    </row>
    <row r="79" spans="1:19" s="2" customFormat="1">
      <c r="A79"/>
      <c r="B79"/>
      <c r="C79"/>
      <c r="D79"/>
      <c r="E79"/>
      <c r="H79" s="26"/>
      <c r="I79" s="26"/>
      <c r="J79" s="26"/>
      <c r="K79" s="26"/>
      <c r="L79" s="26"/>
      <c r="M79" s="26"/>
      <c r="N79" s="26"/>
      <c r="Q79" s="16"/>
      <c r="R79"/>
      <c r="S79"/>
    </row>
    <row r="80" spans="1:19" s="2" customFormat="1">
      <c r="A80"/>
      <c r="B80"/>
      <c r="C80"/>
      <c r="D80"/>
      <c r="E80"/>
      <c r="H80" s="26"/>
      <c r="I80" s="26"/>
      <c r="J80" s="26"/>
      <c r="K80" s="26"/>
      <c r="L80" s="26"/>
      <c r="M80" s="26"/>
      <c r="N80" s="26"/>
      <c r="Q80" s="16"/>
      <c r="R80"/>
      <c r="S80"/>
    </row>
    <row r="81" spans="1:19" s="2" customFormat="1">
      <c r="A81"/>
      <c r="B81"/>
      <c r="C81"/>
      <c r="D81"/>
      <c r="E81"/>
      <c r="H81" s="26"/>
      <c r="I81" s="26"/>
      <c r="J81" s="26"/>
      <c r="K81" s="26"/>
      <c r="L81" s="26"/>
      <c r="M81" s="26"/>
      <c r="N81" s="26"/>
      <c r="Q81" s="16"/>
      <c r="R81"/>
      <c r="S81"/>
    </row>
    <row r="82" spans="1:19" s="2" customFormat="1">
      <c r="A82"/>
      <c r="B82"/>
      <c r="C82"/>
      <c r="D82"/>
      <c r="E82"/>
      <c r="H82" s="26"/>
      <c r="I82" s="26"/>
      <c r="J82" s="26"/>
      <c r="K82" s="26"/>
      <c r="L82" s="26"/>
      <c r="M82" s="26"/>
      <c r="N82" s="26"/>
      <c r="Q82" s="16"/>
      <c r="R82"/>
      <c r="S82"/>
    </row>
    <row r="83" spans="1:19" s="2" customFormat="1">
      <c r="A83"/>
      <c r="B83"/>
      <c r="C83"/>
      <c r="D83"/>
      <c r="E83"/>
      <c r="H83" s="27"/>
      <c r="I83" s="26"/>
      <c r="J83" s="26"/>
      <c r="K83" s="26"/>
      <c r="L83" s="26"/>
      <c r="M83" s="28"/>
      <c r="N83" s="28"/>
      <c r="Q83" s="16"/>
      <c r="R83"/>
      <c r="S83"/>
    </row>
    <row r="84" spans="1:19" s="2" customFormat="1">
      <c r="A84"/>
      <c r="B84"/>
      <c r="C84"/>
      <c r="D84"/>
      <c r="E84"/>
      <c r="H84" s="26"/>
      <c r="I84" s="26"/>
      <c r="J84" s="26"/>
      <c r="K84" s="26"/>
      <c r="L84" s="26"/>
      <c r="M84" s="27"/>
      <c r="N84" s="27"/>
      <c r="Q84" s="16"/>
      <c r="R84"/>
      <c r="S84"/>
    </row>
    <row r="85" spans="1:19" s="2" customFormat="1">
      <c r="A85"/>
      <c r="B85"/>
      <c r="C85"/>
      <c r="D85"/>
      <c r="E85"/>
      <c r="H85" s="26"/>
      <c r="I85" s="26"/>
      <c r="J85" s="26"/>
      <c r="K85" s="26"/>
      <c r="L85" s="26"/>
      <c r="M85" s="27"/>
      <c r="N85" s="27"/>
      <c r="Q85" s="16"/>
      <c r="R85"/>
      <c r="S85"/>
    </row>
    <row r="86" spans="1:19" s="2" customFormat="1">
      <c r="A86"/>
      <c r="B86"/>
      <c r="C86"/>
      <c r="D86"/>
      <c r="E86"/>
      <c r="H86" s="26"/>
      <c r="I86" s="26"/>
      <c r="J86" s="26"/>
      <c r="K86" s="26"/>
      <c r="L86" s="26"/>
      <c r="M86" s="27"/>
      <c r="N86" s="27"/>
      <c r="Q86" s="16"/>
      <c r="R86"/>
      <c r="S86"/>
    </row>
    <row r="87" spans="1:19" s="2" customFormat="1">
      <c r="A87"/>
      <c r="B87"/>
      <c r="C87"/>
      <c r="D87"/>
      <c r="E87"/>
      <c r="H87" s="26"/>
      <c r="I87" s="26"/>
      <c r="J87" s="26"/>
      <c r="K87" s="26"/>
      <c r="L87" s="26"/>
      <c r="M87" s="27"/>
      <c r="N87" s="27"/>
      <c r="Q87" s="16"/>
      <c r="R87"/>
      <c r="S87"/>
    </row>
    <row r="88" spans="1:19" s="2" customFormat="1">
      <c r="A88"/>
      <c r="B88"/>
      <c r="C88"/>
      <c r="D88"/>
      <c r="E88"/>
      <c r="H88" s="26"/>
      <c r="I88" s="26"/>
      <c r="J88" s="26"/>
      <c r="K88" s="26"/>
      <c r="L88" s="26"/>
      <c r="M88" s="26"/>
      <c r="N88" s="26"/>
      <c r="Q88" s="16"/>
      <c r="R88"/>
      <c r="S88"/>
    </row>
    <row r="89" spans="1:19" s="2" customFormat="1">
      <c r="A89"/>
      <c r="B89"/>
      <c r="C89"/>
      <c r="D89"/>
      <c r="E89"/>
      <c r="H89" s="26"/>
      <c r="I89" s="26"/>
      <c r="J89" s="26"/>
      <c r="K89" s="26"/>
      <c r="L89" s="26"/>
      <c r="M89" s="26"/>
      <c r="N89" s="26"/>
      <c r="Q89" s="16"/>
      <c r="R89"/>
      <c r="S89"/>
    </row>
    <row r="90" spans="1:19" s="2" customFormat="1">
      <c r="A90"/>
      <c r="B90"/>
      <c r="C90"/>
      <c r="D90"/>
      <c r="E90"/>
      <c r="H90" s="26"/>
      <c r="I90" s="26"/>
      <c r="J90" s="26"/>
      <c r="K90" s="26"/>
      <c r="L90" s="26"/>
      <c r="M90" s="26"/>
      <c r="N90" s="26"/>
      <c r="Q90" s="16"/>
      <c r="R90"/>
      <c r="S90"/>
    </row>
    <row r="91" spans="1:19" s="2" customFormat="1">
      <c r="A91"/>
      <c r="B91"/>
      <c r="C91"/>
      <c r="D91"/>
      <c r="E91"/>
      <c r="H91" s="26"/>
      <c r="I91" s="26"/>
      <c r="J91" s="26"/>
      <c r="K91" s="26"/>
      <c r="L91" s="26"/>
      <c r="M91" s="26"/>
      <c r="N91" s="26"/>
      <c r="Q91" s="16"/>
      <c r="R91"/>
      <c r="S91"/>
    </row>
    <row r="92" spans="1:19" s="2" customFormat="1">
      <c r="A92"/>
      <c r="B92"/>
      <c r="C92"/>
      <c r="D92"/>
      <c r="E92"/>
      <c r="H92" s="26"/>
      <c r="I92" s="26"/>
      <c r="J92" s="26"/>
      <c r="K92" s="26"/>
      <c r="L92" s="26"/>
      <c r="M92" s="26"/>
      <c r="N92" s="26"/>
      <c r="Q92" s="16"/>
      <c r="R92"/>
      <c r="S92"/>
    </row>
    <row r="93" spans="1:19" s="2" customFormat="1">
      <c r="A93"/>
      <c r="B93"/>
      <c r="C93"/>
      <c r="D93"/>
      <c r="E93"/>
      <c r="H93" s="26"/>
      <c r="I93" s="26"/>
      <c r="J93" s="26"/>
      <c r="K93" s="26"/>
      <c r="L93" s="26"/>
      <c r="M93" s="26"/>
      <c r="N93" s="26"/>
      <c r="Q93" s="16"/>
      <c r="R93"/>
      <c r="S93"/>
    </row>
    <row r="94" spans="1:19" s="2" customFormat="1">
      <c r="A94"/>
      <c r="B94"/>
      <c r="C94"/>
      <c r="D94"/>
      <c r="E94"/>
      <c r="H94" s="26"/>
      <c r="I94" s="26"/>
      <c r="J94" s="26"/>
      <c r="K94" s="26"/>
      <c r="L94" s="26"/>
      <c r="M94" s="26"/>
      <c r="N94" s="26"/>
      <c r="Q94" s="16"/>
      <c r="R94"/>
      <c r="S94"/>
    </row>
  </sheetData>
  <mergeCells count="53">
    <mergeCell ref="A13:A17"/>
    <mergeCell ref="B13:B17"/>
    <mergeCell ref="C13:C17"/>
    <mergeCell ref="D13:D17"/>
    <mergeCell ref="A2:Q2"/>
    <mergeCell ref="A6:A10"/>
    <mergeCell ref="B6:B10"/>
    <mergeCell ref="C6:C10"/>
    <mergeCell ref="D6:D10"/>
    <mergeCell ref="A18:A22"/>
    <mergeCell ref="B18:B22"/>
    <mergeCell ref="C18:C22"/>
    <mergeCell ref="D18:D22"/>
    <mergeCell ref="A23:A27"/>
    <mergeCell ref="B23:B27"/>
    <mergeCell ref="C23:C27"/>
    <mergeCell ref="D23:D27"/>
    <mergeCell ref="A28:A32"/>
    <mergeCell ref="B28:B32"/>
    <mergeCell ref="C28:C32"/>
    <mergeCell ref="D28:D32"/>
    <mergeCell ref="A33:A37"/>
    <mergeCell ref="B33:B37"/>
    <mergeCell ref="C33:C37"/>
    <mergeCell ref="D33:D37"/>
    <mergeCell ref="A38:A42"/>
    <mergeCell ref="B38:B42"/>
    <mergeCell ref="C38:C42"/>
    <mergeCell ref="D38:D42"/>
    <mergeCell ref="A43:A47"/>
    <mergeCell ref="B43:B47"/>
    <mergeCell ref="C43:C47"/>
    <mergeCell ref="D43:D47"/>
    <mergeCell ref="A49:A53"/>
    <mergeCell ref="B49:B53"/>
    <mergeCell ref="C49:C53"/>
    <mergeCell ref="D49:D53"/>
    <mergeCell ref="A54:A58"/>
    <mergeCell ref="B54:B58"/>
    <mergeCell ref="C54:C58"/>
    <mergeCell ref="D54:D58"/>
    <mergeCell ref="A69:A73"/>
    <mergeCell ref="B69:B73"/>
    <mergeCell ref="C69:C73"/>
    <mergeCell ref="D69:D73"/>
    <mergeCell ref="A59:A63"/>
    <mergeCell ref="B59:B63"/>
    <mergeCell ref="C59:C63"/>
    <mergeCell ref="D59:D63"/>
    <mergeCell ref="A64:A68"/>
    <mergeCell ref="B64:B68"/>
    <mergeCell ref="C64:C68"/>
    <mergeCell ref="D64:D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M60"/>
  <sheetViews>
    <sheetView rightToLeft="1" view="pageBreakPreview" zoomScale="90" zoomScaleNormal="100" zoomScaleSheetLayoutView="90" workbookViewId="0">
      <selection activeCell="A2" sqref="A2:M40"/>
    </sheetView>
  </sheetViews>
  <sheetFormatPr defaultColWidth="8.625" defaultRowHeight="14.25"/>
  <cols>
    <col min="1" max="1" width="19.5" style="265" customWidth="1"/>
    <col min="2" max="2" width="16.375" style="265" customWidth="1"/>
    <col min="3" max="5" width="14.875" style="265" customWidth="1"/>
    <col min="6" max="6" width="20.375" style="2" customWidth="1"/>
    <col min="7" max="7" width="18" style="2" customWidth="1"/>
    <col min="8" max="8" width="14.125" style="2" customWidth="1"/>
    <col min="9" max="9" width="17.125" style="2" customWidth="1"/>
    <col min="10" max="11" width="15.375" style="2" customWidth="1"/>
    <col min="12" max="12" width="17.375" style="2" customWidth="1"/>
    <col min="13" max="13" width="15.875" style="122" customWidth="1"/>
    <col min="14" max="16384" width="8.625" style="265"/>
  </cols>
  <sheetData>
    <row r="1" spans="1:13">
      <c r="J1" s="2">
        <f>1.0528</f>
        <v>1.0528</v>
      </c>
    </row>
    <row r="2" spans="1:13" ht="29.25" customHeight="1" thickBot="1">
      <c r="A2" s="384" t="s">
        <v>384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 ht="15" customHeight="1" thickTop="1">
      <c r="A3" s="3"/>
      <c r="B3" s="3" t="s">
        <v>16</v>
      </c>
      <c r="C3" s="3"/>
      <c r="D3" s="3">
        <v>1</v>
      </c>
      <c r="E3" s="112" t="s">
        <v>66</v>
      </c>
      <c r="F3" s="112">
        <f xml:space="preserve"> '[8]מדדים ינואר 2018'!C2</f>
        <v>42.804712369308248</v>
      </c>
      <c r="G3" s="90" t="s">
        <v>307</v>
      </c>
      <c r="H3" s="114">
        <f xml:space="preserve"> '[7]מדדים ינואר 20 '!H5</f>
        <v>5.9756219402538058E-3</v>
      </c>
      <c r="I3" s="91" t="s">
        <v>308</v>
      </c>
      <c r="J3" s="121">
        <f xml:space="preserve"> '[7]מדדים ינואר 20 '!H4</f>
        <v>2.8503797218660587E-2</v>
      </c>
      <c r="K3" s="5"/>
      <c r="L3" s="18"/>
      <c r="M3" s="123"/>
    </row>
    <row r="4" spans="1:13" ht="30">
      <c r="A4" s="6"/>
      <c r="B4" s="7" t="s">
        <v>14</v>
      </c>
      <c r="C4" s="267">
        <f xml:space="preserve"> F25 / B21</f>
        <v>23.623640789062467</v>
      </c>
      <c r="D4" s="7"/>
      <c r="E4" s="7"/>
      <c r="F4" s="8" t="s">
        <v>291</v>
      </c>
      <c r="G4" s="8" t="s">
        <v>338</v>
      </c>
      <c r="H4" s="8" t="s">
        <v>310</v>
      </c>
      <c r="I4" s="8" t="s">
        <v>311</v>
      </c>
      <c r="J4" s="8" t="s">
        <v>295</v>
      </c>
      <c r="K4" s="8" t="s">
        <v>296</v>
      </c>
      <c r="L4" s="8" t="s">
        <v>297</v>
      </c>
      <c r="M4" s="224" t="s">
        <v>285</v>
      </c>
    </row>
    <row r="5" spans="1:13" ht="28.5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1" t="s">
        <v>339</v>
      </c>
      <c r="H5" s="11" t="s">
        <v>13</v>
      </c>
      <c r="I5" s="11" t="s">
        <v>298</v>
      </c>
      <c r="J5" s="11" t="s">
        <v>13</v>
      </c>
      <c r="K5" s="11" t="s">
        <v>13</v>
      </c>
      <c r="L5" s="11" t="s">
        <v>13</v>
      </c>
      <c r="M5" s="125"/>
    </row>
    <row r="6" spans="1:13">
      <c r="A6" s="347" t="s">
        <v>340</v>
      </c>
      <c r="B6" s="397">
        <v>4100</v>
      </c>
      <c r="C6" s="325">
        <v>1</v>
      </c>
      <c r="D6" s="328">
        <v>688</v>
      </c>
      <c r="E6" s="84" t="s">
        <v>69</v>
      </c>
      <c r="F6" s="268">
        <f xml:space="preserve"> 1264 - 0.32</f>
        <v>1263.68</v>
      </c>
      <c r="G6" s="268">
        <f xml:space="preserve"> '[8]סיכום עלויות חודשי - צמוד 04.18'!$G$21</f>
        <v>0</v>
      </c>
      <c r="H6" s="268"/>
      <c r="I6" s="268"/>
      <c r="J6" s="268"/>
      <c r="K6" s="268">
        <f xml:space="preserve"> '[8]סיכום עלויות חודשי - צמוד 04.18'!L6</f>
        <v>0</v>
      </c>
      <c r="L6" s="268">
        <v>6833.3333333333339</v>
      </c>
      <c r="M6" s="269">
        <f t="shared" ref="M6:M35" si="0">SUM(F6:L6)</f>
        <v>8097.0133333333342</v>
      </c>
    </row>
    <row r="7" spans="1:13">
      <c r="A7" s="348"/>
      <c r="B7" s="398"/>
      <c r="C7" s="326"/>
      <c r="D7" s="329"/>
      <c r="E7" s="84" t="s">
        <v>66</v>
      </c>
      <c r="F7" s="270">
        <f xml:space="preserve"> F3 * D6</f>
        <v>29449.642110084074</v>
      </c>
      <c r="G7" s="270">
        <f xml:space="preserve"> 4 * 86 *$F$3</f>
        <v>14724.821055042037</v>
      </c>
      <c r="H7" s="270"/>
      <c r="I7" s="270"/>
      <c r="J7" s="270"/>
      <c r="K7" s="270">
        <v>0</v>
      </c>
      <c r="L7" s="270"/>
      <c r="M7" s="269">
        <f t="shared" si="0"/>
        <v>44174.463165126115</v>
      </c>
    </row>
    <row r="8" spans="1:13">
      <c r="A8" s="348"/>
      <c r="B8" s="398"/>
      <c r="C8" s="326"/>
      <c r="D8" s="329"/>
      <c r="E8" s="84" t="s">
        <v>67</v>
      </c>
      <c r="F8" s="270">
        <f xml:space="preserve"> '[7]סכום עלויות ג''נרלי 01.19'!F8 * (1 + $H$3)</f>
        <v>22432.888143902066</v>
      </c>
      <c r="G8" s="270">
        <f xml:space="preserve"> '[7]סכום עלויות ג''נרלי 01.19'!G8 * (1 + $H$3)</f>
        <v>1434.9490720040283</v>
      </c>
      <c r="H8" s="270"/>
      <c r="I8" s="270"/>
      <c r="J8" s="270"/>
      <c r="K8" s="270">
        <f xml:space="preserve"> '[8]סיכום עלויות חודשי - צמוד 04.18'!L8 * ( 1 +$H$3)</f>
        <v>0</v>
      </c>
      <c r="L8" s="270">
        <f xml:space="preserve"> '[8]סיכום עלויות חודשי - צמוד 04.18'!M8 * ( 1 +$H$3)</f>
        <v>0</v>
      </c>
      <c r="M8" s="269">
        <f t="shared" si="0"/>
        <v>23867.837215906093</v>
      </c>
    </row>
    <row r="9" spans="1:13">
      <c r="A9" s="348"/>
      <c r="B9" s="398"/>
      <c r="C9" s="326"/>
      <c r="D9" s="329"/>
      <c r="E9" s="84" t="s">
        <v>68</v>
      </c>
      <c r="F9" s="270">
        <f xml:space="preserve"> '[7]סכום עלויות ג''נרלי 01.19'!F9 * (1 + $J$3)</f>
        <v>43710.716981169979</v>
      </c>
      <c r="G9" s="270">
        <f xml:space="preserve"> '[7]סכום עלויות ג''נרלי 01.19'!G9 * (1 + $J$3)</f>
        <v>2796.0132625994702</v>
      </c>
      <c r="H9" s="270"/>
      <c r="I9" s="270"/>
      <c r="J9" s="270"/>
      <c r="K9" s="270">
        <f xml:space="preserve"> '[8]סיכום עלויות חודשי - צמוד 04.18'!L9 * ( 1 +$J$3)</f>
        <v>0</v>
      </c>
      <c r="L9" s="270">
        <f xml:space="preserve"> '[8]סיכום עלויות חודשי - צמוד 04.18'!M9 * ( 1 +$J$3)</f>
        <v>0</v>
      </c>
      <c r="M9" s="269">
        <f t="shared" si="0"/>
        <v>46506.730243769445</v>
      </c>
    </row>
    <row r="10" spans="1:13">
      <c r="A10" s="349"/>
      <c r="B10" s="399"/>
      <c r="C10" s="327"/>
      <c r="D10" s="330"/>
      <c r="E10" s="84" t="s">
        <v>33</v>
      </c>
      <c r="F10" s="226">
        <f>SUM(F6:F9)</f>
        <v>96856.927235156123</v>
      </c>
      <c r="G10" s="226">
        <f t="shared" ref="G10:L10" si="1">SUM(G6:G9)</f>
        <v>18955.783389645534</v>
      </c>
      <c r="H10" s="226"/>
      <c r="I10" s="226"/>
      <c r="J10" s="226"/>
      <c r="K10" s="226">
        <f t="shared" si="1"/>
        <v>0</v>
      </c>
      <c r="L10" s="226">
        <f t="shared" si="1"/>
        <v>6833.3333333333339</v>
      </c>
      <c r="M10" s="269">
        <f t="shared" si="0"/>
        <v>122646.04395813499</v>
      </c>
    </row>
    <row r="11" spans="1:13" ht="14.1" customHeight="1">
      <c r="A11" s="385" t="s">
        <v>341</v>
      </c>
      <c r="B11" s="388">
        <v>1362</v>
      </c>
      <c r="C11" s="391">
        <f xml:space="preserve"> B11 / $B$6</f>
        <v>0.33219512195121953</v>
      </c>
      <c r="D11" s="388">
        <f xml:space="preserve"> $D$6 * C11</f>
        <v>228.55024390243904</v>
      </c>
      <c r="E11" s="30" t="s">
        <v>69</v>
      </c>
      <c r="F11" s="13">
        <f xml:space="preserve"> F6 * $C$11</f>
        <v>419.78833170731713</v>
      </c>
      <c r="G11" s="13">
        <f xml:space="preserve"> G6</f>
        <v>0</v>
      </c>
      <c r="H11" s="13">
        <f t="shared" ref="H11:L11" si="2" xml:space="preserve"> H6 * $C$11</f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2270.0000000000005</v>
      </c>
      <c r="M11" s="262">
        <f t="shared" si="0"/>
        <v>2689.7883317073174</v>
      </c>
    </row>
    <row r="12" spans="1:13">
      <c r="A12" s="386"/>
      <c r="B12" s="389"/>
      <c r="C12" s="392"/>
      <c r="D12" s="389"/>
      <c r="E12" s="30" t="s">
        <v>66</v>
      </c>
      <c r="F12" s="13">
        <f t="shared" ref="F12:L14" si="3" xml:space="preserve"> F7 * $C$11</f>
        <v>9783.0274521791489</v>
      </c>
      <c r="G12" s="13">
        <f t="shared" ref="G12:G14" si="4" xml:space="preserve"> G7</f>
        <v>14724.821055042037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262">
        <f t="shared" si="0"/>
        <v>24507.848507221184</v>
      </c>
    </row>
    <row r="13" spans="1:13">
      <c r="A13" s="386"/>
      <c r="B13" s="389"/>
      <c r="C13" s="392"/>
      <c r="D13" s="389"/>
      <c r="E13" s="30" t="s">
        <v>67</v>
      </c>
      <c r="F13" s="13">
        <f t="shared" si="3"/>
        <v>7452.0960126816135</v>
      </c>
      <c r="G13" s="13">
        <f t="shared" si="4"/>
        <v>1434.9490720040283</v>
      </c>
      <c r="H13" s="13">
        <f t="shared" si="3"/>
        <v>0</v>
      </c>
      <c r="I13" s="13">
        <f t="shared" si="3"/>
        <v>0</v>
      </c>
      <c r="J13" s="13">
        <f t="shared" si="3"/>
        <v>0</v>
      </c>
      <c r="K13" s="13">
        <f t="shared" si="3"/>
        <v>0</v>
      </c>
      <c r="L13" s="13">
        <f t="shared" si="3"/>
        <v>0</v>
      </c>
      <c r="M13" s="262">
        <f t="shared" si="0"/>
        <v>8887.045084685642</v>
      </c>
    </row>
    <row r="14" spans="1:13">
      <c r="A14" s="386"/>
      <c r="B14" s="389"/>
      <c r="C14" s="392"/>
      <c r="D14" s="389"/>
      <c r="E14" s="30" t="s">
        <v>68</v>
      </c>
      <c r="F14" s="13">
        <f t="shared" si="3"/>
        <v>14520.486958135003</v>
      </c>
      <c r="G14" s="13">
        <f t="shared" si="4"/>
        <v>2796.0132625994702</v>
      </c>
      <c r="H14" s="13">
        <f t="shared" si="3"/>
        <v>0</v>
      </c>
      <c r="I14" s="13">
        <f t="shared" si="3"/>
        <v>0</v>
      </c>
      <c r="J14" s="13">
        <f t="shared" si="3"/>
        <v>0</v>
      </c>
      <c r="K14" s="13">
        <f t="shared" si="3"/>
        <v>0</v>
      </c>
      <c r="L14" s="13">
        <f t="shared" si="3"/>
        <v>0</v>
      </c>
      <c r="M14" s="262">
        <f t="shared" si="0"/>
        <v>17316.500220734473</v>
      </c>
    </row>
    <row r="15" spans="1:13">
      <c r="A15" s="387"/>
      <c r="B15" s="390"/>
      <c r="C15" s="393"/>
      <c r="D15" s="390"/>
      <c r="E15" s="129" t="s">
        <v>33</v>
      </c>
      <c r="F15" s="226">
        <f>SUM(F11:F14)</f>
        <v>32175.398754703081</v>
      </c>
      <c r="G15" s="226">
        <f t="shared" ref="G15:L15" si="5">SUM(G11:G14)</f>
        <v>18955.783389645534</v>
      </c>
      <c r="H15" s="226">
        <f t="shared" si="5"/>
        <v>0</v>
      </c>
      <c r="I15" s="226">
        <f t="shared" si="5"/>
        <v>0</v>
      </c>
      <c r="J15" s="226">
        <f t="shared" si="5"/>
        <v>0</v>
      </c>
      <c r="K15" s="226">
        <f t="shared" si="5"/>
        <v>0</v>
      </c>
      <c r="L15" s="85">
        <f t="shared" si="5"/>
        <v>2270.0000000000005</v>
      </c>
      <c r="M15" s="263">
        <f t="shared" si="0"/>
        <v>53401.182144348611</v>
      </c>
    </row>
    <row r="16" spans="1:13" ht="14.1" customHeight="1">
      <c r="A16" s="385" t="s">
        <v>342</v>
      </c>
      <c r="B16" s="388">
        <v>913</v>
      </c>
      <c r="C16" s="391">
        <f t="shared" ref="C16" si="6" xml:space="preserve"> B16 / $B$6</f>
        <v>0.2226829268292683</v>
      </c>
      <c r="D16" s="388">
        <f t="shared" ref="D16" si="7" xml:space="preserve"> $D$6 * C16</f>
        <v>153.2058536585366</v>
      </c>
      <c r="E16" s="30" t="s">
        <v>69</v>
      </c>
      <c r="F16" s="13">
        <f xml:space="preserve"> F6 * $C$16</f>
        <v>281.39996097560976</v>
      </c>
      <c r="G16" s="13"/>
      <c r="H16" s="13">
        <f t="shared" ref="H16:L16" si="8" xml:space="preserve"> H6 * $C$16</f>
        <v>0</v>
      </c>
      <c r="I16" s="13">
        <f t="shared" si="8"/>
        <v>0</v>
      </c>
      <c r="J16" s="13">
        <f t="shared" si="8"/>
        <v>0</v>
      </c>
      <c r="K16" s="13">
        <f t="shared" si="8"/>
        <v>0</v>
      </c>
      <c r="L16" s="13">
        <f t="shared" si="8"/>
        <v>1521.6666666666667</v>
      </c>
      <c r="M16" s="262">
        <f t="shared" si="0"/>
        <v>1803.0666276422764</v>
      </c>
    </row>
    <row r="17" spans="1:13">
      <c r="A17" s="386"/>
      <c r="B17" s="389"/>
      <c r="C17" s="392"/>
      <c r="D17" s="389"/>
      <c r="E17" s="30" t="s">
        <v>66</v>
      </c>
      <c r="F17" s="13">
        <f t="shared" ref="F17:L19" si="9" xml:space="preserve"> F7 * $C$16</f>
        <v>6557.9324991479907</v>
      </c>
      <c r="G17" s="13"/>
      <c r="H17" s="13">
        <f t="shared" si="9"/>
        <v>0</v>
      </c>
      <c r="I17" s="13">
        <f t="shared" si="9"/>
        <v>0</v>
      </c>
      <c r="J17" s="13">
        <f t="shared" si="9"/>
        <v>0</v>
      </c>
      <c r="K17" s="13">
        <f t="shared" si="9"/>
        <v>0</v>
      </c>
      <c r="L17" s="13">
        <f t="shared" si="9"/>
        <v>0</v>
      </c>
      <c r="M17" s="262">
        <f t="shared" si="0"/>
        <v>6557.9324991479907</v>
      </c>
    </row>
    <row r="18" spans="1:13">
      <c r="A18" s="386"/>
      <c r="B18" s="389"/>
      <c r="C18" s="392"/>
      <c r="D18" s="389"/>
      <c r="E18" s="30" t="s">
        <v>67</v>
      </c>
      <c r="F18" s="13">
        <f t="shared" si="9"/>
        <v>4995.4211891177038</v>
      </c>
      <c r="G18" s="13"/>
      <c r="H18" s="13">
        <f t="shared" si="9"/>
        <v>0</v>
      </c>
      <c r="I18" s="13">
        <f t="shared" si="9"/>
        <v>0</v>
      </c>
      <c r="J18" s="13">
        <f t="shared" si="9"/>
        <v>0</v>
      </c>
      <c r="K18" s="13">
        <f t="shared" si="9"/>
        <v>0</v>
      </c>
      <c r="L18" s="13">
        <f t="shared" si="9"/>
        <v>0</v>
      </c>
      <c r="M18" s="262">
        <f t="shared" si="0"/>
        <v>4995.4211891177038</v>
      </c>
    </row>
    <row r="19" spans="1:13">
      <c r="A19" s="386"/>
      <c r="B19" s="389"/>
      <c r="C19" s="392"/>
      <c r="D19" s="389"/>
      <c r="E19" s="30" t="s">
        <v>68</v>
      </c>
      <c r="F19" s="13">
        <f t="shared" si="9"/>
        <v>9733.63039117273</v>
      </c>
      <c r="G19" s="13"/>
      <c r="H19" s="13">
        <f t="shared" si="9"/>
        <v>0</v>
      </c>
      <c r="I19" s="13">
        <f t="shared" si="9"/>
        <v>0</v>
      </c>
      <c r="J19" s="13">
        <f t="shared" si="9"/>
        <v>0</v>
      </c>
      <c r="K19" s="13">
        <f t="shared" si="9"/>
        <v>0</v>
      </c>
      <c r="L19" s="13">
        <f t="shared" si="9"/>
        <v>0</v>
      </c>
      <c r="M19" s="262">
        <f t="shared" si="0"/>
        <v>9733.63039117273</v>
      </c>
    </row>
    <row r="20" spans="1:13">
      <c r="A20" s="387"/>
      <c r="B20" s="390"/>
      <c r="C20" s="393"/>
      <c r="D20" s="390"/>
      <c r="E20" s="129" t="s">
        <v>33</v>
      </c>
      <c r="F20" s="226">
        <f>SUM(F16:F19)</f>
        <v>21568.384040414036</v>
      </c>
      <c r="G20" s="226">
        <f t="shared" ref="G20:L20" si="10">SUM(G16:G19)</f>
        <v>0</v>
      </c>
      <c r="H20" s="226">
        <f t="shared" si="10"/>
        <v>0</v>
      </c>
      <c r="I20" s="226">
        <f t="shared" si="10"/>
        <v>0</v>
      </c>
      <c r="J20" s="226">
        <f t="shared" si="10"/>
        <v>0</v>
      </c>
      <c r="K20" s="226">
        <f t="shared" si="10"/>
        <v>0</v>
      </c>
      <c r="L20" s="85">
        <f t="shared" si="10"/>
        <v>1521.6666666666667</v>
      </c>
      <c r="M20" s="263">
        <f t="shared" si="0"/>
        <v>23090.050707080703</v>
      </c>
    </row>
    <row r="21" spans="1:13" ht="14.1" customHeight="1">
      <c r="A21" s="385" t="s">
        <v>343</v>
      </c>
      <c r="B21" s="388">
        <v>1460</v>
      </c>
      <c r="C21" s="391">
        <f t="shared" ref="C21" si="11" xml:space="preserve"> B21 / $B$6</f>
        <v>0.35609756097560974</v>
      </c>
      <c r="D21" s="388">
        <f t="shared" ref="D21" si="12" xml:space="preserve"> $D$6 * C21</f>
        <v>244.99512195121949</v>
      </c>
      <c r="E21" s="30" t="s">
        <v>69</v>
      </c>
      <c r="F21" s="13">
        <f xml:space="preserve"> F6 * $C$21</f>
        <v>449.99336585365853</v>
      </c>
      <c r="G21" s="13"/>
      <c r="H21" s="13">
        <f t="shared" ref="H21:L24" si="13" xml:space="preserve"> H6 * $C$21</f>
        <v>0</v>
      </c>
      <c r="I21" s="13">
        <f t="shared" si="13"/>
        <v>0</v>
      </c>
      <c r="J21" s="13">
        <f t="shared" si="13"/>
        <v>0</v>
      </c>
      <c r="K21" s="13">
        <f t="shared" si="13"/>
        <v>0</v>
      </c>
      <c r="L21" s="13">
        <f t="shared" si="13"/>
        <v>2433.3333333333335</v>
      </c>
      <c r="M21" s="262">
        <f t="shared" si="0"/>
        <v>2883.3266991869918</v>
      </c>
    </row>
    <row r="22" spans="1:13">
      <c r="A22" s="386"/>
      <c r="B22" s="389"/>
      <c r="C22" s="392"/>
      <c r="D22" s="389"/>
      <c r="E22" s="30" t="s">
        <v>66</v>
      </c>
      <c r="F22" s="13">
        <f t="shared" ref="F22:F24" si="14" xml:space="preserve"> F7 * $C$21</f>
        <v>10486.945727005548</v>
      </c>
      <c r="G22" s="13"/>
      <c r="H22" s="13">
        <f t="shared" si="13"/>
        <v>0</v>
      </c>
      <c r="I22" s="13">
        <f t="shared" si="13"/>
        <v>0</v>
      </c>
      <c r="J22" s="13">
        <f t="shared" si="13"/>
        <v>0</v>
      </c>
      <c r="K22" s="13">
        <f t="shared" si="13"/>
        <v>0</v>
      </c>
      <c r="L22" s="13">
        <f t="shared" si="13"/>
        <v>0</v>
      </c>
      <c r="M22" s="262">
        <f t="shared" si="0"/>
        <v>10486.945727005548</v>
      </c>
    </row>
    <row r="23" spans="1:13">
      <c r="A23" s="386"/>
      <c r="B23" s="389"/>
      <c r="C23" s="392"/>
      <c r="D23" s="389"/>
      <c r="E23" s="30" t="s">
        <v>67</v>
      </c>
      <c r="F23" s="13">
        <f t="shared" si="14"/>
        <v>7988.2967536821989</v>
      </c>
      <c r="G23" s="13"/>
      <c r="H23" s="13">
        <f t="shared" si="13"/>
        <v>0</v>
      </c>
      <c r="I23" s="13">
        <f t="shared" si="13"/>
        <v>0</v>
      </c>
      <c r="J23" s="13">
        <f t="shared" si="13"/>
        <v>0</v>
      </c>
      <c r="K23" s="13">
        <f t="shared" si="13"/>
        <v>0</v>
      </c>
      <c r="L23" s="13">
        <f t="shared" si="13"/>
        <v>0</v>
      </c>
      <c r="M23" s="262">
        <f t="shared" si="0"/>
        <v>7988.2967536821989</v>
      </c>
    </row>
    <row r="24" spans="1:13">
      <c r="A24" s="386"/>
      <c r="B24" s="389"/>
      <c r="C24" s="392"/>
      <c r="D24" s="389"/>
      <c r="E24" s="30" t="s">
        <v>68</v>
      </c>
      <c r="F24" s="13">
        <f t="shared" si="14"/>
        <v>15565.279705489796</v>
      </c>
      <c r="G24" s="13"/>
      <c r="H24" s="13">
        <f t="shared" si="13"/>
        <v>0</v>
      </c>
      <c r="I24" s="13">
        <f t="shared" si="13"/>
        <v>0</v>
      </c>
      <c r="J24" s="13">
        <f t="shared" si="13"/>
        <v>0</v>
      </c>
      <c r="K24" s="13">
        <f t="shared" si="13"/>
        <v>0</v>
      </c>
      <c r="L24" s="13">
        <f t="shared" si="13"/>
        <v>0</v>
      </c>
      <c r="M24" s="262">
        <f t="shared" si="0"/>
        <v>15565.279705489796</v>
      </c>
    </row>
    <row r="25" spans="1:13">
      <c r="A25" s="387"/>
      <c r="B25" s="390"/>
      <c r="C25" s="393"/>
      <c r="D25" s="390"/>
      <c r="E25" s="129" t="s">
        <v>33</v>
      </c>
      <c r="F25" s="226">
        <f>SUM(F21:F24)</f>
        <v>34490.515552031204</v>
      </c>
      <c r="G25" s="226">
        <f t="shared" ref="G25:L25" si="15">SUM(G21:G24)</f>
        <v>0</v>
      </c>
      <c r="H25" s="226">
        <f t="shared" si="15"/>
        <v>0</v>
      </c>
      <c r="I25" s="226">
        <f t="shared" si="15"/>
        <v>0</v>
      </c>
      <c r="J25" s="226">
        <f t="shared" si="15"/>
        <v>0</v>
      </c>
      <c r="K25" s="226">
        <f t="shared" si="15"/>
        <v>0</v>
      </c>
      <c r="L25" s="85">
        <f t="shared" si="15"/>
        <v>2433.3333333333335</v>
      </c>
      <c r="M25" s="263">
        <f t="shared" si="0"/>
        <v>36923.848885364539</v>
      </c>
    </row>
    <row r="26" spans="1:13" ht="14.1" customHeight="1">
      <c r="A26" s="385" t="s">
        <v>344</v>
      </c>
      <c r="B26" s="388">
        <v>292</v>
      </c>
      <c r="C26" s="391">
        <f t="shared" ref="C26" si="16" xml:space="preserve"> B26 / $B$6</f>
        <v>7.1219512195121945E-2</v>
      </c>
      <c r="D26" s="388">
        <f t="shared" ref="D26" si="17" xml:space="preserve"> $D$6 * C26</f>
        <v>48.999024390243896</v>
      </c>
      <c r="E26" s="30" t="s">
        <v>69</v>
      </c>
      <c r="F26" s="13">
        <f xml:space="preserve"> F6 * $C$26</f>
        <v>89.998673170731706</v>
      </c>
      <c r="G26" s="13"/>
      <c r="H26" s="13">
        <f t="shared" ref="H26:L26" si="18" xml:space="preserve"> H6 * $C$26</f>
        <v>0</v>
      </c>
      <c r="I26" s="13">
        <f t="shared" si="18"/>
        <v>0</v>
      </c>
      <c r="J26" s="13">
        <f t="shared" si="18"/>
        <v>0</v>
      </c>
      <c r="K26" s="13">
        <f t="shared" si="18"/>
        <v>0</v>
      </c>
      <c r="L26" s="13">
        <f t="shared" si="18"/>
        <v>486.66666666666669</v>
      </c>
      <c r="M26" s="262">
        <f t="shared" si="0"/>
        <v>576.66533983739839</v>
      </c>
    </row>
    <row r="27" spans="1:13">
      <c r="A27" s="386"/>
      <c r="B27" s="389"/>
      <c r="C27" s="392"/>
      <c r="D27" s="389"/>
      <c r="E27" s="30" t="s">
        <v>66</v>
      </c>
      <c r="F27" s="13">
        <f t="shared" ref="F27:L29" si="19" xml:space="preserve"> F7 * $C$26</f>
        <v>2097.3891454011095</v>
      </c>
      <c r="G27" s="13"/>
      <c r="H27" s="13">
        <f t="shared" si="19"/>
        <v>0</v>
      </c>
      <c r="I27" s="13">
        <f t="shared" si="19"/>
        <v>0</v>
      </c>
      <c r="J27" s="13">
        <f t="shared" si="19"/>
        <v>0</v>
      </c>
      <c r="K27" s="13">
        <f t="shared" si="19"/>
        <v>0</v>
      </c>
      <c r="L27" s="13">
        <f t="shared" si="19"/>
        <v>0</v>
      </c>
      <c r="M27" s="262">
        <f t="shared" si="0"/>
        <v>2097.3891454011095</v>
      </c>
    </row>
    <row r="28" spans="1:13">
      <c r="A28" s="386"/>
      <c r="B28" s="389"/>
      <c r="C28" s="392"/>
      <c r="D28" s="389"/>
      <c r="E28" s="30" t="s">
        <v>67</v>
      </c>
      <c r="F28" s="13">
        <f t="shared" si="19"/>
        <v>1597.6593507364396</v>
      </c>
      <c r="G28" s="13"/>
      <c r="H28" s="13">
        <f t="shared" si="19"/>
        <v>0</v>
      </c>
      <c r="I28" s="13">
        <f t="shared" si="19"/>
        <v>0</v>
      </c>
      <c r="J28" s="13">
        <f t="shared" si="19"/>
        <v>0</v>
      </c>
      <c r="K28" s="13">
        <f t="shared" si="19"/>
        <v>0</v>
      </c>
      <c r="L28" s="13">
        <f t="shared" si="19"/>
        <v>0</v>
      </c>
      <c r="M28" s="262">
        <f t="shared" si="0"/>
        <v>1597.6593507364396</v>
      </c>
    </row>
    <row r="29" spans="1:13">
      <c r="A29" s="386"/>
      <c r="B29" s="389"/>
      <c r="C29" s="392"/>
      <c r="D29" s="389"/>
      <c r="E29" s="30" t="s">
        <v>68</v>
      </c>
      <c r="F29" s="13">
        <f t="shared" si="19"/>
        <v>3113.055941097959</v>
      </c>
      <c r="G29" s="13"/>
      <c r="H29" s="13">
        <f t="shared" si="19"/>
        <v>0</v>
      </c>
      <c r="I29" s="13">
        <f t="shared" si="19"/>
        <v>0</v>
      </c>
      <c r="J29" s="13">
        <f t="shared" si="19"/>
        <v>0</v>
      </c>
      <c r="K29" s="13">
        <f t="shared" si="19"/>
        <v>0</v>
      </c>
      <c r="L29" s="13">
        <f t="shared" si="19"/>
        <v>0</v>
      </c>
      <c r="M29" s="262">
        <f t="shared" si="0"/>
        <v>3113.055941097959</v>
      </c>
    </row>
    <row r="30" spans="1:13">
      <c r="A30" s="387"/>
      <c r="B30" s="390"/>
      <c r="C30" s="393"/>
      <c r="D30" s="390"/>
      <c r="E30" s="129" t="s">
        <v>33</v>
      </c>
      <c r="F30" s="226">
        <f>SUM(F26:F29)</f>
        <v>6898.1031104062404</v>
      </c>
      <c r="G30" s="226">
        <f t="shared" ref="G30:L30" si="20">SUM(G26:G29)</f>
        <v>0</v>
      </c>
      <c r="H30" s="226">
        <f t="shared" si="20"/>
        <v>0</v>
      </c>
      <c r="I30" s="226">
        <f t="shared" si="20"/>
        <v>0</v>
      </c>
      <c r="J30" s="226">
        <f t="shared" si="20"/>
        <v>0</v>
      </c>
      <c r="K30" s="226">
        <f t="shared" si="20"/>
        <v>0</v>
      </c>
      <c r="L30" s="85">
        <f t="shared" si="20"/>
        <v>486.66666666666669</v>
      </c>
      <c r="M30" s="263">
        <f t="shared" si="0"/>
        <v>7384.7697770729073</v>
      </c>
    </row>
    <row r="31" spans="1:13" ht="14.1" customHeight="1">
      <c r="A31" s="385" t="s">
        <v>345</v>
      </c>
      <c r="B31" s="388">
        <v>73</v>
      </c>
      <c r="C31" s="391">
        <f t="shared" ref="C31" si="21" xml:space="preserve"> B31 / $B$6</f>
        <v>1.7804878048780486E-2</v>
      </c>
      <c r="D31" s="388">
        <f t="shared" ref="D31" si="22" xml:space="preserve"> $D$6 * C31</f>
        <v>12.249756097560974</v>
      </c>
      <c r="E31" s="30" t="s">
        <v>69</v>
      </c>
      <c r="F31" s="13">
        <f xml:space="preserve"> F6 * $C$31</f>
        <v>22.499668292682927</v>
      </c>
      <c r="G31" s="13"/>
      <c r="H31" s="13">
        <f t="shared" ref="H31:L31" si="23" xml:space="preserve"> H6 * $C$31</f>
        <v>0</v>
      </c>
      <c r="I31" s="13">
        <f t="shared" si="23"/>
        <v>0</v>
      </c>
      <c r="J31" s="13">
        <f t="shared" si="23"/>
        <v>0</v>
      </c>
      <c r="K31" s="13">
        <f t="shared" si="23"/>
        <v>0</v>
      </c>
      <c r="L31" s="13">
        <f t="shared" si="23"/>
        <v>121.66666666666667</v>
      </c>
      <c r="M31" s="262">
        <f t="shared" si="0"/>
        <v>144.1663349593496</v>
      </c>
    </row>
    <row r="32" spans="1:13">
      <c r="A32" s="386"/>
      <c r="B32" s="389"/>
      <c r="C32" s="392"/>
      <c r="D32" s="389"/>
      <c r="E32" s="30" t="s">
        <v>66</v>
      </c>
      <c r="F32" s="13">
        <f t="shared" ref="F32:L34" si="24" xml:space="preserve"> F7 * $C$31</f>
        <v>524.34728635027739</v>
      </c>
      <c r="G32" s="13"/>
      <c r="H32" s="13">
        <f t="shared" si="24"/>
        <v>0</v>
      </c>
      <c r="I32" s="13">
        <f t="shared" si="24"/>
        <v>0</v>
      </c>
      <c r="J32" s="13">
        <f t="shared" si="24"/>
        <v>0</v>
      </c>
      <c r="K32" s="13">
        <f t="shared" si="24"/>
        <v>0</v>
      </c>
      <c r="L32" s="13">
        <f t="shared" si="24"/>
        <v>0</v>
      </c>
      <c r="M32" s="262">
        <f t="shared" si="0"/>
        <v>524.34728635027739</v>
      </c>
    </row>
    <row r="33" spans="1:13">
      <c r="A33" s="386"/>
      <c r="B33" s="389"/>
      <c r="C33" s="392"/>
      <c r="D33" s="389"/>
      <c r="E33" s="30" t="s">
        <v>67</v>
      </c>
      <c r="F33" s="13">
        <f t="shared" si="24"/>
        <v>399.4148376841099</v>
      </c>
      <c r="G33" s="13"/>
      <c r="H33" s="13">
        <f t="shared" si="24"/>
        <v>0</v>
      </c>
      <c r="I33" s="13">
        <f t="shared" si="24"/>
        <v>0</v>
      </c>
      <c r="J33" s="13">
        <f t="shared" si="24"/>
        <v>0</v>
      </c>
      <c r="K33" s="13">
        <f t="shared" si="24"/>
        <v>0</v>
      </c>
      <c r="L33" s="13">
        <f t="shared" si="24"/>
        <v>0</v>
      </c>
      <c r="M33" s="262">
        <f t="shared" si="0"/>
        <v>399.4148376841099</v>
      </c>
    </row>
    <row r="34" spans="1:13">
      <c r="A34" s="386"/>
      <c r="B34" s="389"/>
      <c r="C34" s="392"/>
      <c r="D34" s="389"/>
      <c r="E34" s="30" t="s">
        <v>68</v>
      </c>
      <c r="F34" s="13">
        <f t="shared" si="24"/>
        <v>778.26398527448976</v>
      </c>
      <c r="G34" s="13"/>
      <c r="H34" s="13">
        <f t="shared" si="24"/>
        <v>0</v>
      </c>
      <c r="I34" s="13">
        <f t="shared" si="24"/>
        <v>0</v>
      </c>
      <c r="J34" s="13">
        <f t="shared" si="24"/>
        <v>0</v>
      </c>
      <c r="K34" s="13">
        <f t="shared" si="24"/>
        <v>0</v>
      </c>
      <c r="L34" s="13">
        <f t="shared" si="24"/>
        <v>0</v>
      </c>
      <c r="M34" s="262">
        <f t="shared" si="0"/>
        <v>778.26398527448976</v>
      </c>
    </row>
    <row r="35" spans="1:13">
      <c r="A35" s="387"/>
      <c r="B35" s="390"/>
      <c r="C35" s="393"/>
      <c r="D35" s="390"/>
      <c r="E35" s="129" t="s">
        <v>33</v>
      </c>
      <c r="F35" s="226">
        <f>SUM(F31:F34)</f>
        <v>1724.5257776015601</v>
      </c>
      <c r="G35" s="226">
        <f t="shared" ref="G35:L35" si="25">SUM(G31:G34)</f>
        <v>0</v>
      </c>
      <c r="H35" s="226">
        <f t="shared" si="25"/>
        <v>0</v>
      </c>
      <c r="I35" s="226">
        <f t="shared" si="25"/>
        <v>0</v>
      </c>
      <c r="J35" s="226">
        <f t="shared" si="25"/>
        <v>0</v>
      </c>
      <c r="K35" s="226">
        <f t="shared" si="25"/>
        <v>0</v>
      </c>
      <c r="L35" s="85">
        <f t="shared" si="25"/>
        <v>121.66666666666667</v>
      </c>
      <c r="M35" s="263">
        <f t="shared" si="0"/>
        <v>1846.1924442682268</v>
      </c>
    </row>
    <row r="36" spans="1:13">
      <c r="A36" s="319" t="s">
        <v>286</v>
      </c>
      <c r="B36" s="397">
        <f>SUM(B11:B35)</f>
        <v>4100</v>
      </c>
      <c r="C36" s="325">
        <f>SUM(C11:C35)</f>
        <v>1</v>
      </c>
      <c r="D36" s="328">
        <f>SUM(D11:D35)</f>
        <v>688</v>
      </c>
      <c r="E36" s="84" t="s">
        <v>69</v>
      </c>
      <c r="F36" s="226">
        <f t="shared" ref="F36:M39" si="26" xml:space="preserve"> F11 + F16 + F21 + F26 + F31</f>
        <v>1263.68</v>
      </c>
      <c r="G36" s="226">
        <f t="shared" si="26"/>
        <v>0</v>
      </c>
      <c r="H36" s="226">
        <f t="shared" si="26"/>
        <v>0</v>
      </c>
      <c r="I36" s="226">
        <f t="shared" si="26"/>
        <v>0</v>
      </c>
      <c r="J36" s="226">
        <f t="shared" si="26"/>
        <v>0</v>
      </c>
      <c r="K36" s="226">
        <f t="shared" si="26"/>
        <v>0</v>
      </c>
      <c r="L36" s="85">
        <f t="shared" si="26"/>
        <v>6833.3333333333339</v>
      </c>
      <c r="M36" s="226">
        <f t="shared" si="26"/>
        <v>8097.0133333333333</v>
      </c>
    </row>
    <row r="37" spans="1:13">
      <c r="A37" s="320"/>
      <c r="B37" s="398"/>
      <c r="C37" s="326"/>
      <c r="D37" s="329"/>
      <c r="E37" s="84" t="s">
        <v>66</v>
      </c>
      <c r="F37" s="226">
        <f t="shared" si="26"/>
        <v>29449.642110084074</v>
      </c>
      <c r="G37" s="226">
        <f t="shared" si="26"/>
        <v>14724.821055042037</v>
      </c>
      <c r="H37" s="226">
        <f t="shared" si="26"/>
        <v>0</v>
      </c>
      <c r="I37" s="226">
        <f t="shared" si="26"/>
        <v>0</v>
      </c>
      <c r="J37" s="226">
        <f t="shared" si="26"/>
        <v>0</v>
      </c>
      <c r="K37" s="226">
        <f t="shared" si="26"/>
        <v>0</v>
      </c>
      <c r="L37" s="226">
        <f t="shared" si="26"/>
        <v>0</v>
      </c>
      <c r="M37" s="226">
        <f t="shared" si="26"/>
        <v>44174.463165126108</v>
      </c>
    </row>
    <row r="38" spans="1:13">
      <c r="A38" s="320"/>
      <c r="B38" s="398"/>
      <c r="C38" s="326"/>
      <c r="D38" s="329"/>
      <c r="E38" s="84" t="s">
        <v>67</v>
      </c>
      <c r="F38" s="226">
        <f t="shared" si="26"/>
        <v>22432.88814390207</v>
      </c>
      <c r="G38" s="226">
        <f t="shared" si="26"/>
        <v>1434.9490720040283</v>
      </c>
      <c r="H38" s="226">
        <f t="shared" si="26"/>
        <v>0</v>
      </c>
      <c r="I38" s="226">
        <f t="shared" si="26"/>
        <v>0</v>
      </c>
      <c r="J38" s="226">
        <f t="shared" si="26"/>
        <v>0</v>
      </c>
      <c r="K38" s="226">
        <f t="shared" si="26"/>
        <v>0</v>
      </c>
      <c r="L38" s="226">
        <f t="shared" si="26"/>
        <v>0</v>
      </c>
      <c r="M38" s="226">
        <f t="shared" si="26"/>
        <v>23867.837215906096</v>
      </c>
    </row>
    <row r="39" spans="1:13">
      <c r="A39" s="320"/>
      <c r="B39" s="398"/>
      <c r="C39" s="326"/>
      <c r="D39" s="329"/>
      <c r="E39" s="84" t="s">
        <v>68</v>
      </c>
      <c r="F39" s="226">
        <f t="shared" si="26"/>
        <v>43710.716981169986</v>
      </c>
      <c r="G39" s="226">
        <f t="shared" si="26"/>
        <v>2796.0132625994702</v>
      </c>
      <c r="H39" s="226">
        <f t="shared" si="26"/>
        <v>0</v>
      </c>
      <c r="I39" s="226">
        <f t="shared" si="26"/>
        <v>0</v>
      </c>
      <c r="J39" s="226">
        <f t="shared" si="26"/>
        <v>0</v>
      </c>
      <c r="K39" s="226">
        <f t="shared" si="26"/>
        <v>0</v>
      </c>
      <c r="L39" s="226">
        <f t="shared" si="26"/>
        <v>0</v>
      </c>
      <c r="M39" s="226">
        <f t="shared" si="26"/>
        <v>46506.730243769452</v>
      </c>
    </row>
    <row r="40" spans="1:13">
      <c r="A40" s="321"/>
      <c r="B40" s="399"/>
      <c r="C40" s="327"/>
      <c r="D40" s="330"/>
      <c r="E40" s="84" t="s">
        <v>33</v>
      </c>
      <c r="F40" s="226">
        <f>SUM(F36:F39)</f>
        <v>96856.927235156123</v>
      </c>
      <c r="G40" s="226">
        <f t="shared" ref="G40:M40" si="27">SUM(G36:G39)</f>
        <v>18955.783389645534</v>
      </c>
      <c r="H40" s="226">
        <f t="shared" si="27"/>
        <v>0</v>
      </c>
      <c r="I40" s="226">
        <f t="shared" si="27"/>
        <v>0</v>
      </c>
      <c r="J40" s="226">
        <f t="shared" si="27"/>
        <v>0</v>
      </c>
      <c r="K40" s="226">
        <f t="shared" si="27"/>
        <v>0</v>
      </c>
      <c r="L40" s="85">
        <f t="shared" si="27"/>
        <v>6833.3333333333339</v>
      </c>
      <c r="M40" s="261">
        <f t="shared" si="27"/>
        <v>122646.04395813498</v>
      </c>
    </row>
    <row r="41" spans="1:13" s="2" customFormat="1">
      <c r="A41" s="265"/>
      <c r="B41" s="265"/>
      <c r="F41" s="31"/>
      <c r="M41" s="122"/>
    </row>
    <row r="42" spans="1:13" ht="15">
      <c r="A42" s="383" t="s">
        <v>346</v>
      </c>
      <c r="B42" s="383"/>
      <c r="C42" s="383"/>
      <c r="D42" s="383"/>
      <c r="E42" s="383"/>
    </row>
    <row r="43" spans="1:13" ht="15">
      <c r="A43" s="400" t="s">
        <v>347</v>
      </c>
      <c r="B43" s="400"/>
      <c r="C43" s="400"/>
      <c r="D43" s="400"/>
      <c r="E43" s="400"/>
      <c r="F43" s="400"/>
      <c r="G43" s="400"/>
      <c r="H43" s="400"/>
      <c r="I43" s="400"/>
      <c r="J43" s="400"/>
      <c r="K43" s="400"/>
      <c r="L43" s="400"/>
    </row>
    <row r="44" spans="1:13">
      <c r="A44" s="401"/>
      <c r="B44" s="401"/>
      <c r="C44" s="401"/>
      <c r="D44" s="401"/>
      <c r="E44" s="401"/>
      <c r="F44" s="401"/>
      <c r="G44" s="401"/>
      <c r="H44" s="401"/>
      <c r="I44" s="401"/>
      <c r="J44" s="401"/>
      <c r="K44" s="401"/>
      <c r="L44" s="401"/>
      <c r="M44" s="401"/>
    </row>
    <row r="45" spans="1:13" s="2" customFormat="1">
      <c r="A45" s="401"/>
      <c r="B45" s="401"/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122"/>
    </row>
    <row r="46" spans="1:13" s="2" customFormat="1">
      <c r="A46" s="401"/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</row>
    <row r="47" spans="1:13" s="2" customFormat="1">
      <c r="A47" s="401"/>
      <c r="B47" s="401"/>
      <c r="C47" s="401"/>
      <c r="D47" s="401"/>
      <c r="E47" s="401"/>
      <c r="F47" s="401"/>
      <c r="G47" s="401"/>
      <c r="H47" s="401"/>
      <c r="I47" s="401"/>
      <c r="J47" s="401"/>
      <c r="K47" s="401"/>
      <c r="L47" s="401"/>
      <c r="M47" s="122"/>
    </row>
    <row r="48" spans="1:13" s="2" customFormat="1">
      <c r="A48" s="401"/>
      <c r="B48" s="401"/>
      <c r="C48" s="401"/>
      <c r="D48" s="401"/>
      <c r="E48" s="401"/>
      <c r="F48" s="401"/>
      <c r="G48" s="401"/>
      <c r="H48" s="401"/>
      <c r="I48" s="401"/>
      <c r="J48" s="401"/>
      <c r="K48" s="401"/>
      <c r="L48" s="401"/>
      <c r="M48" s="401"/>
    </row>
    <row r="49" spans="1:13" s="2" customFormat="1">
      <c r="A49" s="401"/>
      <c r="B49" s="401"/>
      <c r="C49" s="401"/>
      <c r="D49" s="401"/>
      <c r="E49" s="401"/>
      <c r="F49" s="401"/>
      <c r="G49" s="401"/>
      <c r="H49" s="401"/>
      <c r="I49" s="401"/>
      <c r="J49" s="401"/>
      <c r="K49" s="401"/>
      <c r="L49" s="401"/>
      <c r="M49" s="122"/>
    </row>
    <row r="50" spans="1:13" s="2" customFormat="1">
      <c r="A50" s="401"/>
      <c r="B50" s="401"/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1"/>
    </row>
    <row r="51" spans="1:13" s="2" customFormat="1">
      <c r="A51" s="265"/>
      <c r="B51" s="265"/>
      <c r="C51" s="265"/>
      <c r="D51" s="265"/>
      <c r="E51" s="265"/>
      <c r="H51" s="26"/>
      <c r="I51" s="26"/>
      <c r="J51" s="26"/>
      <c r="K51" s="27"/>
      <c r="L51" s="27"/>
      <c r="M51" s="122"/>
    </row>
    <row r="52" spans="1:13" s="2" customFormat="1">
      <c r="A52" s="265"/>
      <c r="B52" s="265"/>
      <c r="C52" s="265"/>
      <c r="D52" s="265"/>
      <c r="E52" s="265"/>
      <c r="H52" s="26"/>
      <c r="I52" s="26"/>
      <c r="J52" s="26"/>
      <c r="K52" s="27"/>
      <c r="L52" s="27"/>
      <c r="M52" s="122"/>
    </row>
    <row r="53" spans="1:13" s="2" customFormat="1">
      <c r="A53" s="265"/>
      <c r="B53" s="265"/>
      <c r="C53" s="265"/>
      <c r="D53" s="265"/>
      <c r="E53" s="265"/>
      <c r="H53" s="26"/>
      <c r="I53" s="26"/>
      <c r="J53" s="26"/>
      <c r="K53" s="27"/>
      <c r="L53" s="27"/>
      <c r="M53" s="122"/>
    </row>
    <row r="54" spans="1:13" s="2" customFormat="1">
      <c r="A54" s="265"/>
      <c r="B54" s="265"/>
      <c r="C54" s="265"/>
      <c r="D54" s="265"/>
      <c r="E54" s="265"/>
      <c r="H54" s="26"/>
      <c r="I54" s="26"/>
      <c r="J54" s="26"/>
      <c r="K54" s="26"/>
      <c r="L54" s="26"/>
      <c r="M54" s="122"/>
    </row>
    <row r="55" spans="1:13" s="2" customFormat="1">
      <c r="A55" s="265"/>
      <c r="B55" s="265"/>
      <c r="C55" s="265"/>
      <c r="D55" s="265"/>
      <c r="E55" s="265"/>
      <c r="H55" s="26"/>
      <c r="I55" s="26"/>
      <c r="J55" s="26"/>
      <c r="K55" s="26"/>
      <c r="L55" s="26"/>
      <c r="M55" s="122"/>
    </row>
    <row r="56" spans="1:13" s="2" customFormat="1">
      <c r="A56" s="265"/>
      <c r="B56" s="265"/>
      <c r="C56" s="265"/>
      <c r="D56" s="265"/>
      <c r="E56" s="265"/>
      <c r="H56" s="26"/>
      <c r="I56" s="26"/>
      <c r="J56" s="26"/>
      <c r="K56" s="26"/>
      <c r="L56" s="26"/>
      <c r="M56" s="122"/>
    </row>
    <row r="57" spans="1:13" s="2" customFormat="1">
      <c r="A57" s="265"/>
      <c r="B57" s="265"/>
      <c r="C57" s="265"/>
      <c r="D57" s="265"/>
      <c r="E57" s="265"/>
      <c r="H57" s="26"/>
      <c r="I57" s="26"/>
      <c r="J57" s="26"/>
      <c r="K57" s="26"/>
      <c r="L57" s="26"/>
      <c r="M57" s="122"/>
    </row>
    <row r="58" spans="1:13" s="2" customFormat="1">
      <c r="A58" s="265"/>
      <c r="B58" s="265"/>
      <c r="C58" s="265"/>
      <c r="D58" s="265"/>
      <c r="E58" s="265"/>
      <c r="H58" s="26"/>
      <c r="I58" s="26"/>
      <c r="J58" s="26"/>
      <c r="K58" s="26"/>
      <c r="L58" s="26"/>
      <c r="M58" s="122"/>
    </row>
    <row r="59" spans="1:13" s="2" customFormat="1">
      <c r="A59" s="265"/>
      <c r="B59" s="265"/>
      <c r="C59" s="265"/>
      <c r="D59" s="265"/>
      <c r="E59" s="265"/>
      <c r="H59" s="26"/>
      <c r="I59" s="26"/>
      <c r="J59" s="26"/>
      <c r="K59" s="26"/>
      <c r="L59" s="26"/>
      <c r="M59" s="122"/>
    </row>
    <row r="60" spans="1:13" s="2" customFormat="1">
      <c r="A60" s="265"/>
      <c r="B60" s="265"/>
      <c r="C60" s="265"/>
      <c r="D60" s="265"/>
      <c r="E60" s="265"/>
      <c r="H60" s="26"/>
      <c r="I60" s="26"/>
      <c r="J60" s="26"/>
      <c r="K60" s="26"/>
      <c r="L60" s="26"/>
      <c r="M60" s="122"/>
    </row>
  </sheetData>
  <mergeCells count="38">
    <mergeCell ref="A50:M50"/>
    <mergeCell ref="A44:M44"/>
    <mergeCell ref="A45:L45"/>
    <mergeCell ref="A46:M46"/>
    <mergeCell ref="A47:L47"/>
    <mergeCell ref="A48:M48"/>
    <mergeCell ref="A49:L49"/>
    <mergeCell ref="A43:L43"/>
    <mergeCell ref="A26:A30"/>
    <mergeCell ref="B26:B30"/>
    <mergeCell ref="C26:C30"/>
    <mergeCell ref="D26:D30"/>
    <mergeCell ref="A31:A35"/>
    <mergeCell ref="B31:B35"/>
    <mergeCell ref="C31:C35"/>
    <mergeCell ref="D31:D35"/>
    <mergeCell ref="A36:A40"/>
    <mergeCell ref="B36:B40"/>
    <mergeCell ref="C36:C40"/>
    <mergeCell ref="D36:D40"/>
    <mergeCell ref="A42:E42"/>
    <mergeCell ref="A16:A20"/>
    <mergeCell ref="B16:B20"/>
    <mergeCell ref="C16:C20"/>
    <mergeCell ref="D16:D20"/>
    <mergeCell ref="A21:A25"/>
    <mergeCell ref="B21:B25"/>
    <mergeCell ref="C21:C25"/>
    <mergeCell ref="D21:D25"/>
    <mergeCell ref="A11:A15"/>
    <mergeCell ref="B11:B15"/>
    <mergeCell ref="C11:C15"/>
    <mergeCell ref="D11:D15"/>
    <mergeCell ref="A2:M2"/>
    <mergeCell ref="A6:A10"/>
    <mergeCell ref="B6:B10"/>
    <mergeCell ref="C6:C10"/>
    <mergeCell ref="D6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B19" zoomScale="80" zoomScaleNormal="80" workbookViewId="0">
      <selection activeCell="E37" activeCellId="1" sqref="D25 E37"/>
    </sheetView>
  </sheetViews>
  <sheetFormatPr defaultColWidth="9" defaultRowHeight="18.75"/>
  <cols>
    <col min="1" max="1" width="9" style="148"/>
    <col min="2" max="2" width="16.625" style="148" customWidth="1"/>
    <col min="3" max="3" width="52.1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6.6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220"/>
      <c r="C2" s="220"/>
      <c r="D2" s="220"/>
      <c r="E2" s="220"/>
      <c r="F2" s="220"/>
      <c r="G2" s="220"/>
      <c r="H2" s="220"/>
    </row>
    <row r="3" spans="2:15" ht="26.25">
      <c r="B3" s="372"/>
      <c r="C3" s="373"/>
      <c r="D3" s="220"/>
      <c r="E3" s="220"/>
      <c r="F3" s="220"/>
      <c r="G3" s="220"/>
      <c r="H3" s="220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318</v>
      </c>
      <c r="D5" s="166" t="s">
        <v>317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v>3865</v>
      </c>
      <c r="E6" s="151"/>
      <c r="F6" s="151"/>
      <c r="G6" s="151"/>
      <c r="H6" s="181"/>
      <c r="I6" s="152" t="s">
        <v>240</v>
      </c>
      <c r="J6" s="361">
        <f xml:space="preserve"> 'סיכום עלויות חפציבה'!L10</f>
        <v>1464.9663483375671</v>
      </c>
      <c r="K6" s="375">
        <f xml:space="preserve"> J6 / $D$6</f>
        <v>0.3790339840459423</v>
      </c>
      <c r="L6" s="361">
        <f xml:space="preserve"> K6 * 12</f>
        <v>4.5484078085513078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J16</f>
        <v>1464.9663483375671</v>
      </c>
      <c r="E9" s="162">
        <f t="shared" ref="E9:F9" si="0" xml:space="preserve"> K16</f>
        <v>0.3790339840459423</v>
      </c>
      <c r="F9" s="162">
        <f t="shared" si="0"/>
        <v>4.5484078085513078</v>
      </c>
      <c r="G9" s="188"/>
      <c r="H9" s="21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77647.315108796189</v>
      </c>
      <c r="E10" s="162">
        <f t="shared" ref="E10:F10" si="1" xml:space="preserve"> K30</f>
        <v>20.089861606415575</v>
      </c>
      <c r="F10" s="162">
        <f t="shared" si="1"/>
        <v>241.07833927698687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27621.053063920543</v>
      </c>
      <c r="E11" s="162">
        <f t="shared" ref="E11:F11" si="2" xml:space="preserve"> K40</f>
        <v>7.1464561614283415</v>
      </c>
      <c r="F11" s="162">
        <f t="shared" si="2"/>
        <v>85.757473937140105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49550.250090097608</v>
      </c>
      <c r="E12" s="162">
        <f t="shared" ref="E12:F12" si="3">K48</f>
        <v>0</v>
      </c>
      <c r="F12" s="162">
        <f t="shared" si="3"/>
        <v>0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0</v>
      </c>
      <c r="E13" s="162">
        <f t="shared" ref="E13:F13" si="4">K56</f>
        <v>0</v>
      </c>
      <c r="F13" s="162">
        <f t="shared" si="4"/>
        <v>0</v>
      </c>
      <c r="G13" s="188"/>
      <c r="H13" s="21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>
        <f xml:space="preserve"> 'סיכום עלויות חפציבה'!N10</f>
        <v>6441.666666666667</v>
      </c>
      <c r="E14" s="162">
        <f xml:space="preserve"> D14 / $D$6</f>
        <v>1.6666666666666667</v>
      </c>
      <c r="F14" s="162">
        <f xml:space="preserve"> E14 * 12</f>
        <v>20</v>
      </c>
      <c r="G14" s="189" t="s">
        <v>278</v>
      </c>
      <c r="H14" s="218"/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162725.25127781855</v>
      </c>
      <c r="E15" s="162">
        <f>SUM(E9:E14)</f>
        <v>29.282018418556529</v>
      </c>
      <c r="F15" s="162">
        <f>SUM(F9:F14)</f>
        <v>351.38422102267828</v>
      </c>
      <c r="G15" s="188"/>
      <c r="H15" s="21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1464.9663483375671</v>
      </c>
      <c r="K16" s="195">
        <f>SUM(K6:K13)</f>
        <v>0.3790339840459423</v>
      </c>
      <c r="L16" s="195">
        <f>SUM(L6:L13)</f>
        <v>4.5484078085513078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390</v>
      </c>
      <c r="D19" s="161">
        <v>1000</v>
      </c>
      <c r="E19" s="186">
        <f xml:space="preserve"> D19 / $D$6</f>
        <v>0.25873221216041398</v>
      </c>
      <c r="F19" s="187">
        <f xml:space="preserve"> E19 * 12</f>
        <v>3.1047865459249677</v>
      </c>
      <c r="G19" s="188" t="s">
        <v>306</v>
      </c>
      <c r="I19" s="152" t="s">
        <v>251</v>
      </c>
      <c r="J19" s="378">
        <f xml:space="preserve"> 'סיכום עלויות חפציבה'!F10 - J40</f>
        <v>63785.031282495169</v>
      </c>
      <c r="K19" s="361">
        <f xml:space="preserve"> J19 / $D$6</f>
        <v>16.503242246441182</v>
      </c>
      <c r="L19" s="361">
        <f xml:space="preserve"> K19 * 12</f>
        <v>198.03890695729419</v>
      </c>
    </row>
    <row r="20" spans="1:12">
      <c r="B20" s="155">
        <v>7</v>
      </c>
      <c r="C20" s="155" t="s">
        <v>391</v>
      </c>
      <c r="D20" s="161">
        <v>2200</v>
      </c>
      <c r="E20" s="186">
        <f xml:space="preserve"> D20 / $D$6</f>
        <v>0.56921086675291077</v>
      </c>
      <c r="F20" s="187">
        <f xml:space="preserve"> E20 * 12</f>
        <v>6.8305304010349293</v>
      </c>
      <c r="G20" s="188" t="s">
        <v>306</v>
      </c>
      <c r="I20" s="175" t="s">
        <v>252</v>
      </c>
      <c r="J20" s="379"/>
      <c r="K20" s="362"/>
      <c r="L20" s="362"/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79"/>
      <c r="K21" s="362"/>
      <c r="L21" s="362"/>
    </row>
    <row r="22" spans="1:12" ht="19.5" thickBot="1">
      <c r="E22" s="151"/>
      <c r="I22" s="152" t="s">
        <v>255</v>
      </c>
      <c r="J22" s="379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112.00000000000001</v>
      </c>
      <c r="E23" s="186">
        <f xml:space="preserve"> D23 / $D$6</f>
        <v>2.8978007761966369E-2</v>
      </c>
      <c r="F23" s="187">
        <f xml:space="preserve"> E23 * 12</f>
        <v>0.34773609314359644</v>
      </c>
      <c r="G23" s="159"/>
      <c r="I23" s="152" t="s">
        <v>256</v>
      </c>
      <c r="J23" s="379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79"/>
      <c r="K24" s="362"/>
      <c r="L24" s="362"/>
    </row>
    <row r="25" spans="1:12">
      <c r="B25" s="155" t="s">
        <v>234</v>
      </c>
      <c r="C25" s="152"/>
      <c r="D25" s="162">
        <f xml:space="preserve"> D15 + D19 + D20 + D22</f>
        <v>165925.25127781855</v>
      </c>
      <c r="E25" s="164">
        <f xml:space="preserve"> E15 + E19 + E20 + E23</f>
        <v>30.138939505231821</v>
      </c>
      <c r="F25" s="164">
        <f xml:space="preserve"> F15 + F19 + F20 + F23</f>
        <v>361.66727406278181</v>
      </c>
      <c r="G25" s="185"/>
      <c r="I25" s="152" t="s">
        <v>258</v>
      </c>
      <c r="J25" s="379"/>
      <c r="K25" s="362"/>
      <c r="L25" s="362"/>
    </row>
    <row r="26" spans="1:12">
      <c r="B26" s="155" t="s">
        <v>235</v>
      </c>
      <c r="C26" s="160">
        <v>0.17</v>
      </c>
      <c r="D26" s="162">
        <f>D25*0.17</f>
        <v>28207.292717229157</v>
      </c>
      <c r="E26" s="162">
        <f t="shared" ref="E26:F26" si="5">E25*0.17</f>
        <v>5.1236197158894097</v>
      </c>
      <c r="F26" s="162">
        <f t="shared" si="5"/>
        <v>61.483436590672916</v>
      </c>
      <c r="G26" s="185"/>
      <c r="I26" s="152" t="s">
        <v>259</v>
      </c>
      <c r="J26" s="380"/>
      <c r="K26" s="363"/>
      <c r="L26" s="363"/>
    </row>
    <row r="27" spans="1:12">
      <c r="B27" s="155" t="s">
        <v>236</v>
      </c>
      <c r="C27" s="152"/>
      <c r="D27" s="162">
        <f>D26+D25</f>
        <v>194132.54399504772</v>
      </c>
      <c r="E27" s="162">
        <f t="shared" ref="E27:F27" si="6">E26+E25</f>
        <v>35.262559221121229</v>
      </c>
      <c r="F27" s="162">
        <f t="shared" si="6"/>
        <v>423.15071065345472</v>
      </c>
      <c r="G27" s="185"/>
      <c r="I27" s="176" t="s">
        <v>275</v>
      </c>
      <c r="J27" s="162">
        <f xml:space="preserve"> 'סיכום עלויות חפציבה'!H10</f>
        <v>1778.9504929676889</v>
      </c>
      <c r="K27" s="161">
        <f xml:space="preserve"> J27 / $D$6</f>
        <v>0.46027179636938909</v>
      </c>
      <c r="L27" s="162">
        <f xml:space="preserve"> K27 * 12</f>
        <v>5.5232615564326686</v>
      </c>
    </row>
    <row r="28" spans="1:12">
      <c r="B28" s="157"/>
      <c r="C28" s="151"/>
      <c r="D28" s="291"/>
      <c r="E28" s="291"/>
      <c r="F28" s="291"/>
      <c r="G28" s="185"/>
      <c r="I28" s="176"/>
      <c r="J28" s="162"/>
      <c r="K28" s="161"/>
      <c r="L28" s="162"/>
    </row>
    <row r="29" spans="1:12">
      <c r="E29" s="151"/>
      <c r="I29" s="266" t="s">
        <v>337</v>
      </c>
      <c r="J29" s="162">
        <f xml:space="preserve"> 'סיכום עלויות חפציבה'!M10</f>
        <v>12083.333333333334</v>
      </c>
      <c r="K29" s="161">
        <f xml:space="preserve"> J29 / $D$6</f>
        <v>3.1263475636050022</v>
      </c>
      <c r="L29" s="162">
        <f xml:space="preserve"> K29 * 12</f>
        <v>37.516170763260028</v>
      </c>
    </row>
    <row r="30" spans="1:12">
      <c r="D30" s="148"/>
      <c r="F30" s="148"/>
      <c r="G30" s="148"/>
      <c r="I30" s="178" t="s">
        <v>33</v>
      </c>
      <c r="J30" s="195">
        <f>SUM(J19:J29)</f>
        <v>77647.315108796189</v>
      </c>
      <c r="K30" s="195">
        <f t="shared" ref="K30:L30" si="7">SUM(K19:K29)</f>
        <v>20.089861606415575</v>
      </c>
      <c r="L30" s="195">
        <f t="shared" si="7"/>
        <v>241.07833927698687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I33" s="152" t="s">
        <v>260</v>
      </c>
      <c r="J33" s="198">
        <f xml:space="preserve"> 'סיכום עלויות חפציבה'!F7 + 2000</f>
        <v>26099.053063920543</v>
      </c>
      <c r="K33" s="161">
        <f xml:space="preserve"> J33 / $D$6</f>
        <v>6.7526657345201917</v>
      </c>
      <c r="L33" s="162">
        <f xml:space="preserve"> K33 * 12</f>
        <v>81.031988814242297</v>
      </c>
    </row>
    <row r="34" spans="2:14" ht="19.5" thickBot="1">
      <c r="B34" s="367"/>
      <c r="C34" s="357"/>
      <c r="D34" s="357"/>
      <c r="E34" s="357"/>
      <c r="F34" s="358"/>
      <c r="G34" s="221"/>
      <c r="I34" s="152" t="s">
        <v>261</v>
      </c>
      <c r="J34" s="162"/>
      <c r="K34" s="172"/>
      <c r="L34" s="171"/>
    </row>
    <row r="35" spans="2:14" ht="19.5" thickBot="1">
      <c r="I35" s="152" t="s">
        <v>262</v>
      </c>
      <c r="J35" s="162">
        <v>400</v>
      </c>
      <c r="K35" s="161">
        <f xml:space="preserve"> J35 / $D$6</f>
        <v>0.10349288486416559</v>
      </c>
      <c r="L35" s="162">
        <f xml:space="preserve"> K35 * 12</f>
        <v>1.2419146183699872</v>
      </c>
    </row>
    <row r="36" spans="2:14">
      <c r="C36" s="248" t="s">
        <v>327</v>
      </c>
      <c r="D36" s="249" t="s">
        <v>326</v>
      </c>
      <c r="E36" s="249" t="s">
        <v>325</v>
      </c>
      <c r="F36" s="166" t="s">
        <v>324</v>
      </c>
      <c r="G36" s="166" t="s">
        <v>353</v>
      </c>
      <c r="I36" s="180" t="s">
        <v>263</v>
      </c>
      <c r="J36" s="162"/>
      <c r="K36" s="161">
        <f t="shared" ref="K36:K38" si="8" xml:space="preserve"> J36 / $D$6</f>
        <v>0</v>
      </c>
      <c r="L36" s="162">
        <f t="shared" ref="L36:L38" si="9" xml:space="preserve"> K36 * 12</f>
        <v>0</v>
      </c>
      <c r="N36" s="151"/>
    </row>
    <row r="37" spans="2:14" ht="19.5" thickBot="1">
      <c r="C37" s="250">
        <v>12</v>
      </c>
      <c r="D37" s="272">
        <f xml:space="preserve"> D6</f>
        <v>3865</v>
      </c>
      <c r="E37" s="252">
        <f xml:space="preserve"> D37 * C37</f>
        <v>46380</v>
      </c>
      <c r="F37" s="253">
        <f xml:space="preserve"> E37 * 12</f>
        <v>556560</v>
      </c>
      <c r="G37" s="253">
        <f xml:space="preserve"> F37 * 2</f>
        <v>1113120</v>
      </c>
      <c r="I37" s="152" t="s">
        <v>264</v>
      </c>
      <c r="J37" s="162"/>
      <c r="K37" s="161">
        <f t="shared" si="8"/>
        <v>0</v>
      </c>
      <c r="L37" s="162">
        <f t="shared" si="9"/>
        <v>0</v>
      </c>
      <c r="N37" s="151"/>
    </row>
    <row r="38" spans="2:14" ht="19.5" thickBot="1">
      <c r="C38" s="151"/>
      <c r="D38" s="185"/>
      <c r="E38" s="151"/>
      <c r="F38" s="185"/>
      <c r="I38" s="152" t="s">
        <v>246</v>
      </c>
      <c r="J38" s="162"/>
      <c r="K38" s="161">
        <f t="shared" si="8"/>
        <v>0</v>
      </c>
      <c r="L38" s="162">
        <f t="shared" si="9"/>
        <v>0</v>
      </c>
      <c r="N38" s="174"/>
    </row>
    <row r="39" spans="2:14">
      <c r="C39" s="248" t="s">
        <v>328</v>
      </c>
      <c r="D39" s="257" t="s">
        <v>381</v>
      </c>
      <c r="E39" s="249" t="s">
        <v>383</v>
      </c>
      <c r="F39" s="258" t="s">
        <v>382</v>
      </c>
      <c r="I39" s="180" t="s">
        <v>276</v>
      </c>
      <c r="J39" s="162">
        <f xml:space="preserve"> 'סיכום עלויות חפציבה'!F6</f>
        <v>1122</v>
      </c>
      <c r="K39" s="161">
        <f xml:space="preserve"> J39 / $D$6</f>
        <v>0.2902975420439845</v>
      </c>
      <c r="L39" s="162">
        <f xml:space="preserve"> K39 * 12</f>
        <v>3.483570504527814</v>
      </c>
      <c r="N39" s="151"/>
    </row>
    <row r="40" spans="2:14">
      <c r="C40" s="254" t="s">
        <v>355</v>
      </c>
      <c r="D40" s="247">
        <v>150000</v>
      </c>
      <c r="E40" s="247"/>
      <c r="F40" s="255"/>
      <c r="I40" s="155" t="s">
        <v>33</v>
      </c>
      <c r="J40" s="195">
        <f>SUM(J33:J39)</f>
        <v>27621.053063920543</v>
      </c>
      <c r="K40" s="195">
        <f>SUM(K33:K39)</f>
        <v>7.1464561614283415</v>
      </c>
      <c r="L40" s="195">
        <f>SUM(L33:L39)</f>
        <v>85.757473937140105</v>
      </c>
    </row>
    <row r="41" spans="2:14">
      <c r="C41" s="254" t="s">
        <v>379</v>
      </c>
      <c r="D41" s="247">
        <v>2500000</v>
      </c>
      <c r="E41" s="247"/>
      <c r="F41" s="255"/>
      <c r="I41" s="151"/>
      <c r="J41" s="174"/>
      <c r="K41" s="151"/>
      <c r="L41" s="174"/>
    </row>
    <row r="42" spans="2:14">
      <c r="C42" s="254" t="s">
        <v>380</v>
      </c>
      <c r="D42" s="247">
        <v>150000</v>
      </c>
      <c r="E42" s="247"/>
      <c r="F42" s="255"/>
      <c r="I42" s="167" t="s">
        <v>265</v>
      </c>
      <c r="J42" s="168" t="s">
        <v>238</v>
      </c>
      <c r="K42" s="168" t="s">
        <v>239</v>
      </c>
      <c r="L42" s="168" t="s">
        <v>238</v>
      </c>
    </row>
    <row r="43" spans="2:14">
      <c r="C43" s="254"/>
      <c r="D43" s="247"/>
      <c r="E43" s="247"/>
      <c r="F43" s="255"/>
      <c r="I43" s="152" t="s">
        <v>266</v>
      </c>
      <c r="J43" s="171">
        <f xml:space="preserve"> 'סיכום עלויות חפציבה'!J10 + 'סיכום עלויות חפציבה'!I10</f>
        <v>44858.8</v>
      </c>
      <c r="K43" s="171" t="s">
        <v>274</v>
      </c>
      <c r="L43" s="171" t="s">
        <v>274</v>
      </c>
    </row>
    <row r="44" spans="2:14">
      <c r="C44" s="254"/>
      <c r="D44" s="247"/>
      <c r="E44" s="247"/>
      <c r="F44" s="255">
        <f t="shared" ref="F44:F45" si="10">SUM(D44:E44)</f>
        <v>0</v>
      </c>
      <c r="I44" s="152" t="s">
        <v>267</v>
      </c>
      <c r="J44" s="171"/>
      <c r="K44" s="171" t="s">
        <v>274</v>
      </c>
      <c r="L44" s="171" t="s">
        <v>274</v>
      </c>
    </row>
    <row r="45" spans="2:14" ht="19.5" thickBot="1">
      <c r="C45" s="250"/>
      <c r="D45" s="256"/>
      <c r="E45" s="256"/>
      <c r="F45" s="255">
        <f t="shared" si="10"/>
        <v>0</v>
      </c>
      <c r="I45" s="180" t="s">
        <v>268</v>
      </c>
      <c r="J45" s="171"/>
      <c r="K45" s="171" t="s">
        <v>274</v>
      </c>
      <c r="L45" s="171" t="s">
        <v>274</v>
      </c>
    </row>
    <row r="46" spans="2:14" ht="19.5" thickBot="1">
      <c r="C46" s="260" t="s">
        <v>33</v>
      </c>
      <c r="D46" s="259">
        <f>SUM(D40:D45)</f>
        <v>2800000</v>
      </c>
      <c r="E46" s="256">
        <f xml:space="preserve"> F37</f>
        <v>556560</v>
      </c>
      <c r="F46" s="253">
        <f xml:space="preserve"> E46 - D46</f>
        <v>-2243440</v>
      </c>
      <c r="I46" s="152" t="s">
        <v>321</v>
      </c>
      <c r="J46" s="171">
        <f xml:space="preserve"> 'סיכום עלויות חפציבה'!K10</f>
        <v>4691.4500900976063</v>
      </c>
      <c r="K46" s="171" t="s">
        <v>274</v>
      </c>
      <c r="L46" s="171" t="s">
        <v>274</v>
      </c>
    </row>
    <row r="47" spans="2:14"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49550.250090097608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/>
      <c r="K51" s="368">
        <f xml:space="preserve"> J51/ $D$6</f>
        <v>0</v>
      </c>
      <c r="L51" s="368">
        <f xml:space="preserve"> K51 * 12</f>
        <v>0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0</v>
      </c>
      <c r="K56" s="194">
        <f>SUM(K51:K55)</f>
        <v>0</v>
      </c>
      <c r="L56" s="194">
        <f>SUM(L51:L55)</f>
        <v>0</v>
      </c>
    </row>
    <row r="57" spans="9:12">
      <c r="I57" s="174"/>
      <c r="J57" s="151"/>
      <c r="K57" s="151"/>
      <c r="L57" s="151"/>
    </row>
  </sheetData>
  <mergeCells count="15">
    <mergeCell ref="J51:J53"/>
    <mergeCell ref="K51:K53"/>
    <mergeCell ref="L51:L53"/>
    <mergeCell ref="B15:C15"/>
    <mergeCell ref="J19:J26"/>
    <mergeCell ref="K19:K26"/>
    <mergeCell ref="L19:L26"/>
    <mergeCell ref="D21:F21"/>
    <mergeCell ref="B32:F34"/>
    <mergeCell ref="L6:L7"/>
    <mergeCell ref="B1:I1"/>
    <mergeCell ref="B3:C3"/>
    <mergeCell ref="D4:J4"/>
    <mergeCell ref="J6:J7"/>
    <mergeCell ref="K6:K7"/>
  </mergeCells>
  <pageMargins left="0.70866141732283505" right="0.70866141732283505" top="0.74803149606299202" bottom="0.74803149606299202" header="0.31496062992126" footer="0.31496062992126"/>
  <pageSetup paperSize="9" scale="46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O53"/>
  <sheetViews>
    <sheetView rightToLeft="1" view="pageBreakPreview" zoomScale="70" zoomScaleNormal="100" zoomScaleSheetLayoutView="70" workbookViewId="0">
      <selection activeCell="A2" sqref="A2:O2"/>
    </sheetView>
  </sheetViews>
  <sheetFormatPr defaultRowHeight="14.25"/>
  <cols>
    <col min="1" max="1" width="20.5" customWidth="1"/>
    <col min="2" max="2" width="10.875" customWidth="1"/>
    <col min="3" max="3" width="16.375" hidden="1" customWidth="1"/>
    <col min="4" max="4" width="11.5" customWidth="1"/>
    <col min="5" max="5" width="11.375" customWidth="1"/>
    <col min="6" max="6" width="14.875" customWidth="1"/>
    <col min="7" max="7" width="20.375" style="2" customWidth="1"/>
    <col min="8" max="8" width="18" style="2" customWidth="1"/>
    <col min="9" max="10" width="14.125" style="2" customWidth="1"/>
    <col min="11" max="11" width="17.125" style="2" customWidth="1"/>
    <col min="12" max="14" width="15.375" style="2" customWidth="1"/>
    <col min="15" max="15" width="17.375" style="2" customWidth="1"/>
  </cols>
  <sheetData>
    <row r="1" spans="1:15">
      <c r="L1" s="2">
        <f>1.0528</f>
        <v>1.0528</v>
      </c>
    </row>
    <row r="2" spans="1:15" ht="29.25" customHeight="1" thickBot="1">
      <c r="A2" s="384" t="s">
        <v>377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</row>
    <row r="3" spans="1:15" ht="15" customHeight="1" thickTop="1">
      <c r="A3" s="3"/>
      <c r="B3" s="3" t="s">
        <v>16</v>
      </c>
      <c r="C3" s="3"/>
      <c r="D3" s="3">
        <v>1</v>
      </c>
      <c r="E3" s="200" t="s">
        <v>282</v>
      </c>
      <c r="F3" s="112">
        <v>42.804712369308248</v>
      </c>
      <c r="G3" s="146">
        <v>0</v>
      </c>
      <c r="H3" s="201" t="s">
        <v>283</v>
      </c>
      <c r="I3" s="90">
        <v>0.35</v>
      </c>
      <c r="J3" s="202">
        <v>5.9756219402538058E-3</v>
      </c>
      <c r="K3" s="203" t="s">
        <v>284</v>
      </c>
      <c r="L3" s="204">
        <v>0.65</v>
      </c>
      <c r="M3" s="121">
        <v>2.8503797218660587E-2</v>
      </c>
      <c r="N3" s="8"/>
      <c r="O3" s="8"/>
    </row>
    <row r="4" spans="1:15" ht="45">
      <c r="A4" s="6"/>
      <c r="B4" s="7" t="s">
        <v>14</v>
      </c>
      <c r="C4" s="7"/>
      <c r="D4" s="7"/>
      <c r="E4" s="7"/>
      <c r="F4" s="8" t="s">
        <v>291</v>
      </c>
      <c r="G4" s="8" t="s">
        <v>309</v>
      </c>
      <c r="H4" s="8" t="s">
        <v>320</v>
      </c>
      <c r="I4" s="8" t="s">
        <v>310</v>
      </c>
      <c r="J4" s="8" t="s">
        <v>311</v>
      </c>
      <c r="K4" s="8" t="s">
        <v>295</v>
      </c>
      <c r="L4" s="8" t="s">
        <v>296</v>
      </c>
      <c r="M4" s="223" t="s">
        <v>336</v>
      </c>
      <c r="N4" s="8" t="s">
        <v>297</v>
      </c>
      <c r="O4" s="124" t="s">
        <v>285</v>
      </c>
    </row>
    <row r="5" spans="1:15" ht="28.5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1" t="s">
        <v>298</v>
      </c>
      <c r="H5" s="11" t="s">
        <v>13</v>
      </c>
      <c r="I5" s="11" t="s">
        <v>13</v>
      </c>
      <c r="J5" s="11" t="s">
        <v>298</v>
      </c>
      <c r="K5" s="11" t="s">
        <v>13</v>
      </c>
      <c r="L5" s="11" t="s">
        <v>13</v>
      </c>
      <c r="M5" s="11" t="s">
        <v>13</v>
      </c>
      <c r="N5" s="11" t="s">
        <v>13</v>
      </c>
      <c r="O5" s="125"/>
    </row>
    <row r="6" spans="1:15">
      <c r="A6" s="347" t="s">
        <v>312</v>
      </c>
      <c r="B6" s="397">
        <v>3865</v>
      </c>
      <c r="C6" s="325">
        <v>1</v>
      </c>
      <c r="D6" s="350">
        <v>563</v>
      </c>
      <c r="E6" s="84" t="s">
        <v>69</v>
      </c>
      <c r="F6" s="271">
        <v>1122</v>
      </c>
      <c r="G6" s="85">
        <v>0</v>
      </c>
      <c r="H6" s="85">
        <v>0</v>
      </c>
      <c r="I6" s="85">
        <v>29039.200000000001</v>
      </c>
      <c r="J6" s="85">
        <v>15819.6</v>
      </c>
      <c r="K6" s="85">
        <v>0</v>
      </c>
      <c r="L6" s="85">
        <v>0</v>
      </c>
      <c r="M6" s="85">
        <v>12083.333333333334</v>
      </c>
      <c r="N6" s="85">
        <v>6441.666666666667</v>
      </c>
      <c r="O6" s="261">
        <v>64505.8</v>
      </c>
    </row>
    <row r="7" spans="1:15">
      <c r="A7" s="348"/>
      <c r="B7" s="398"/>
      <c r="C7" s="326"/>
      <c r="D7" s="351"/>
      <c r="E7" s="84" t="s">
        <v>66</v>
      </c>
      <c r="F7" s="226">
        <v>24099.053063920543</v>
      </c>
      <c r="G7" s="85"/>
      <c r="H7" s="226"/>
      <c r="I7" s="226"/>
      <c r="J7" s="226"/>
      <c r="K7" s="85">
        <v>0</v>
      </c>
      <c r="L7" s="85">
        <v>0</v>
      </c>
      <c r="M7" s="226"/>
      <c r="N7" s="226"/>
      <c r="O7" s="261">
        <v>24099.053063920543</v>
      </c>
    </row>
    <row r="8" spans="1:15">
      <c r="A8" s="348"/>
      <c r="B8" s="398"/>
      <c r="C8" s="326"/>
      <c r="D8" s="351"/>
      <c r="E8" s="84" t="s">
        <v>67</v>
      </c>
      <c r="F8" s="226">
        <v>22446.938003354797</v>
      </c>
      <c r="G8" s="85">
        <v>0</v>
      </c>
      <c r="H8" s="226">
        <v>603.33871047432012</v>
      </c>
      <c r="I8" s="226">
        <v>0</v>
      </c>
      <c r="J8" s="226">
        <v>0</v>
      </c>
      <c r="K8" s="226">
        <v>1591.1254747129908</v>
      </c>
      <c r="L8" s="226">
        <v>496.84963746223559</v>
      </c>
      <c r="M8" s="226">
        <v>0</v>
      </c>
      <c r="N8" s="226">
        <v>0</v>
      </c>
      <c r="O8" s="261">
        <v>25138.251826004343</v>
      </c>
    </row>
    <row r="9" spans="1:15">
      <c r="A9" s="348"/>
      <c r="B9" s="398"/>
      <c r="C9" s="326"/>
      <c r="D9" s="351"/>
      <c r="E9" s="84" t="s">
        <v>68</v>
      </c>
      <c r="F9" s="226">
        <v>43738.093279140361</v>
      </c>
      <c r="G9" s="85">
        <v>0</v>
      </c>
      <c r="H9" s="226">
        <v>1175.6117824933688</v>
      </c>
      <c r="I9" s="226">
        <v>0</v>
      </c>
      <c r="J9" s="226">
        <v>0</v>
      </c>
      <c r="K9" s="226">
        <v>3100.3246153846158</v>
      </c>
      <c r="L9" s="226">
        <v>968.11671087533159</v>
      </c>
      <c r="M9" s="226">
        <v>0</v>
      </c>
      <c r="N9" s="226">
        <v>0</v>
      </c>
      <c r="O9" s="261">
        <v>48982.146387893677</v>
      </c>
    </row>
    <row r="10" spans="1:15">
      <c r="A10" s="349"/>
      <c r="B10" s="399"/>
      <c r="C10" s="327"/>
      <c r="D10" s="352"/>
      <c r="E10" s="84" t="s">
        <v>33</v>
      </c>
      <c r="F10" s="226">
        <v>91406.084346415708</v>
      </c>
      <c r="G10" s="226">
        <v>0</v>
      </c>
      <c r="H10" s="226">
        <v>1778.9504929676889</v>
      </c>
      <c r="I10" s="226">
        <v>29039.200000000001</v>
      </c>
      <c r="J10" s="226">
        <v>15819.6</v>
      </c>
      <c r="K10" s="226">
        <v>4691.4500900976063</v>
      </c>
      <c r="L10" s="226">
        <v>1464.9663483375671</v>
      </c>
      <c r="M10" s="226">
        <v>12083.333333333334</v>
      </c>
      <c r="N10" s="85">
        <v>6441.666666666667</v>
      </c>
      <c r="O10" s="261">
        <v>162725.25127781858</v>
      </c>
    </row>
    <row r="11" spans="1:15">
      <c r="A11" s="402" t="s">
        <v>375</v>
      </c>
      <c r="B11" s="388">
        <v>644.16999999999996</v>
      </c>
      <c r="C11" s="391">
        <f xml:space="preserve"> B11 / $B$6</f>
        <v>0.16666752910737387</v>
      </c>
      <c r="D11" s="340">
        <f xml:space="preserve"> C11 * $D$6</f>
        <v>93.833818887451486</v>
      </c>
      <c r="E11" s="30" t="s">
        <v>69</v>
      </c>
      <c r="F11" s="281">
        <f xml:space="preserve"> F6 * $C$11</f>
        <v>187.00096765847348</v>
      </c>
      <c r="G11" s="281">
        <f t="shared" ref="G11:N11" si="0" xml:space="preserve"> G6 * $C$11</f>
        <v>0</v>
      </c>
      <c r="H11" s="281">
        <f t="shared" si="0"/>
        <v>0</v>
      </c>
      <c r="I11" s="281">
        <f t="shared" si="0"/>
        <v>4839.8917112548515</v>
      </c>
      <c r="J11" s="281"/>
      <c r="K11" s="281">
        <f t="shared" si="0"/>
        <v>0</v>
      </c>
      <c r="L11" s="281">
        <f t="shared" si="0"/>
        <v>0</v>
      </c>
      <c r="M11" s="281">
        <f t="shared" si="0"/>
        <v>2013.8993100474343</v>
      </c>
      <c r="N11" s="281">
        <f t="shared" si="0"/>
        <v>1073.6166666666668</v>
      </c>
      <c r="O11" s="262">
        <f t="shared" ref="O11:O40" si="1">SUM(F11:N11)</f>
        <v>8114.408655627426</v>
      </c>
    </row>
    <row r="12" spans="1:15">
      <c r="A12" s="403"/>
      <c r="B12" s="389"/>
      <c r="C12" s="392"/>
      <c r="D12" s="341"/>
      <c r="E12" s="30" t="s">
        <v>66</v>
      </c>
      <c r="F12" s="281">
        <f t="shared" ref="F12:N14" si="2" xml:space="preserve"> F7 * $C$11</f>
        <v>4016.5296279911245</v>
      </c>
      <c r="G12" s="281">
        <f t="shared" si="2"/>
        <v>0</v>
      </c>
      <c r="H12" s="281">
        <f t="shared" si="2"/>
        <v>0</v>
      </c>
      <c r="I12" s="281">
        <f t="shared" si="2"/>
        <v>0</v>
      </c>
      <c r="J12" s="281"/>
      <c r="K12" s="281">
        <f t="shared" si="2"/>
        <v>0</v>
      </c>
      <c r="L12" s="281">
        <f t="shared" si="2"/>
        <v>0</v>
      </c>
      <c r="M12" s="281">
        <f t="shared" si="2"/>
        <v>0</v>
      </c>
      <c r="N12" s="281">
        <f t="shared" si="2"/>
        <v>0</v>
      </c>
      <c r="O12" s="262">
        <f t="shared" si="1"/>
        <v>4016.5296279911245</v>
      </c>
    </row>
    <row r="13" spans="1:15">
      <c r="A13" s="403"/>
      <c r="B13" s="389"/>
      <c r="C13" s="392"/>
      <c r="D13" s="341"/>
      <c r="E13" s="30" t="s">
        <v>67</v>
      </c>
      <c r="F13" s="281">
        <f t="shared" si="2"/>
        <v>3741.1756930455522</v>
      </c>
      <c r="G13" s="281">
        <f t="shared" si="2"/>
        <v>0</v>
      </c>
      <c r="H13" s="281">
        <f t="shared" si="2"/>
        <v>100.55697208958416</v>
      </c>
      <c r="I13" s="281">
        <f t="shared" si="2"/>
        <v>0</v>
      </c>
      <c r="J13" s="281"/>
      <c r="K13" s="281">
        <f t="shared" si="2"/>
        <v>265.18895137021144</v>
      </c>
      <c r="L13" s="281">
        <f t="shared" si="2"/>
        <v>82.808701413725302</v>
      </c>
      <c r="M13" s="281">
        <f t="shared" si="2"/>
        <v>0</v>
      </c>
      <c r="N13" s="281">
        <f t="shared" si="2"/>
        <v>0</v>
      </c>
      <c r="O13" s="262">
        <f t="shared" si="1"/>
        <v>4189.7303179190731</v>
      </c>
    </row>
    <row r="14" spans="1:15">
      <c r="A14" s="403"/>
      <c r="B14" s="389"/>
      <c r="C14" s="392"/>
      <c r="D14" s="341"/>
      <c r="E14" s="30" t="s">
        <v>68</v>
      </c>
      <c r="F14" s="281">
        <f t="shared" si="2"/>
        <v>7289.7199347021597</v>
      </c>
      <c r="G14" s="281">
        <f t="shared" si="2"/>
        <v>0</v>
      </c>
      <c r="H14" s="281">
        <f t="shared" si="2"/>
        <v>195.93631097768522</v>
      </c>
      <c r="I14" s="281">
        <f t="shared" si="2"/>
        <v>0</v>
      </c>
      <c r="J14" s="281"/>
      <c r="K14" s="281">
        <f t="shared" si="2"/>
        <v>516.7234430769231</v>
      </c>
      <c r="L14" s="281">
        <f t="shared" si="2"/>
        <v>161.35362008914939</v>
      </c>
      <c r="M14" s="281">
        <f t="shared" si="2"/>
        <v>0</v>
      </c>
      <c r="N14" s="281">
        <f t="shared" si="2"/>
        <v>0</v>
      </c>
      <c r="O14" s="262">
        <f t="shared" si="1"/>
        <v>8163.7333088459172</v>
      </c>
    </row>
    <row r="15" spans="1:15">
      <c r="A15" s="404"/>
      <c r="B15" s="390"/>
      <c r="C15" s="393"/>
      <c r="D15" s="342"/>
      <c r="E15" s="129" t="s">
        <v>33</v>
      </c>
      <c r="F15" s="226">
        <f>SUM(F11:F14)</f>
        <v>15234.42622339731</v>
      </c>
      <c r="G15" s="226">
        <f t="shared" ref="G15:N15" si="3">SUM(G11:G14)</f>
        <v>0</v>
      </c>
      <c r="H15" s="226">
        <f t="shared" si="3"/>
        <v>296.49328306726937</v>
      </c>
      <c r="I15" s="226">
        <f t="shared" si="3"/>
        <v>4839.8917112548515</v>
      </c>
      <c r="J15" s="226">
        <f t="shared" si="3"/>
        <v>0</v>
      </c>
      <c r="K15" s="226">
        <f t="shared" si="3"/>
        <v>781.9123944471346</v>
      </c>
      <c r="L15" s="226">
        <f t="shared" si="3"/>
        <v>244.1623215028747</v>
      </c>
      <c r="M15" s="226">
        <f t="shared" si="3"/>
        <v>2013.8993100474343</v>
      </c>
      <c r="N15" s="85">
        <f t="shared" si="3"/>
        <v>1073.6166666666668</v>
      </c>
      <c r="O15" s="263">
        <f t="shared" si="1"/>
        <v>24484.401910383538</v>
      </c>
    </row>
    <row r="16" spans="1:15">
      <c r="A16" s="402" t="s">
        <v>335</v>
      </c>
      <c r="B16" s="388">
        <v>257.67</v>
      </c>
      <c r="C16" s="391">
        <f xml:space="preserve"> B16 / $B$6</f>
        <v>6.6667529107373877E-2</v>
      </c>
      <c r="D16" s="340">
        <f t="shared" ref="D16" si="4" xml:space="preserve"> C16 * $D$6</f>
        <v>37.533818887451496</v>
      </c>
      <c r="E16" s="30" t="s">
        <v>69</v>
      </c>
      <c r="F16" s="281">
        <f xml:space="preserve"> F6 * $C$16</f>
        <v>74.800967658473496</v>
      </c>
      <c r="G16" s="281">
        <f t="shared" ref="G16:N16" si="5" xml:space="preserve"> G6 * $C$16</f>
        <v>0</v>
      </c>
      <c r="H16" s="281">
        <f t="shared" si="5"/>
        <v>0</v>
      </c>
      <c r="I16" s="281">
        <f t="shared" si="5"/>
        <v>1935.9717112548515</v>
      </c>
      <c r="J16" s="281"/>
      <c r="K16" s="281">
        <f t="shared" si="5"/>
        <v>0</v>
      </c>
      <c r="L16" s="281">
        <f t="shared" si="5"/>
        <v>0</v>
      </c>
      <c r="M16" s="281">
        <f t="shared" si="5"/>
        <v>805.565976714101</v>
      </c>
      <c r="N16" s="281">
        <f t="shared" si="5"/>
        <v>429.4500000000001</v>
      </c>
      <c r="O16" s="262">
        <f t="shared" si="1"/>
        <v>3245.7886556274261</v>
      </c>
    </row>
    <row r="17" spans="1:15">
      <c r="A17" s="403"/>
      <c r="B17" s="389"/>
      <c r="C17" s="392"/>
      <c r="D17" s="341"/>
      <c r="E17" s="30" t="s">
        <v>66</v>
      </c>
      <c r="F17" s="281">
        <f t="shared" ref="F17:N19" si="6" xml:space="preserve"> F7 * $C$16</f>
        <v>1606.6243215990703</v>
      </c>
      <c r="G17" s="281">
        <f t="shared" si="6"/>
        <v>0</v>
      </c>
      <c r="H17" s="281">
        <f t="shared" si="6"/>
        <v>0</v>
      </c>
      <c r="I17" s="281">
        <f t="shared" si="6"/>
        <v>0</v>
      </c>
      <c r="J17" s="281"/>
      <c r="K17" s="281">
        <f t="shared" si="6"/>
        <v>0</v>
      </c>
      <c r="L17" s="281">
        <f t="shared" si="6"/>
        <v>0</v>
      </c>
      <c r="M17" s="281">
        <f t="shared" si="6"/>
        <v>0</v>
      </c>
      <c r="N17" s="281">
        <f t="shared" si="6"/>
        <v>0</v>
      </c>
      <c r="O17" s="262">
        <f t="shared" si="1"/>
        <v>1606.6243215990703</v>
      </c>
    </row>
    <row r="18" spans="1:15">
      <c r="A18" s="403"/>
      <c r="B18" s="389"/>
      <c r="C18" s="392"/>
      <c r="D18" s="341"/>
      <c r="E18" s="30" t="s">
        <v>67</v>
      </c>
      <c r="F18" s="281">
        <f t="shared" si="6"/>
        <v>1496.4818927100728</v>
      </c>
      <c r="G18" s="281">
        <f t="shared" si="6"/>
        <v>0</v>
      </c>
      <c r="H18" s="281">
        <f t="shared" si="6"/>
        <v>40.223101042152159</v>
      </c>
      <c r="I18" s="281">
        <f t="shared" si="6"/>
        <v>0</v>
      </c>
      <c r="J18" s="281"/>
      <c r="K18" s="281">
        <f t="shared" si="6"/>
        <v>106.07640389891239</v>
      </c>
      <c r="L18" s="281">
        <f t="shared" si="6"/>
        <v>33.12373766750175</v>
      </c>
      <c r="M18" s="281">
        <f t="shared" si="6"/>
        <v>0</v>
      </c>
      <c r="N18" s="281">
        <f t="shared" si="6"/>
        <v>0</v>
      </c>
      <c r="O18" s="262">
        <f t="shared" si="1"/>
        <v>1675.9051353186389</v>
      </c>
    </row>
    <row r="19" spans="1:15">
      <c r="A19" s="403"/>
      <c r="B19" s="389"/>
      <c r="C19" s="392"/>
      <c r="D19" s="341"/>
      <c r="E19" s="30" t="s">
        <v>68</v>
      </c>
      <c r="F19" s="281">
        <f t="shared" si="6"/>
        <v>2915.9106067881239</v>
      </c>
      <c r="G19" s="281">
        <f t="shared" si="6"/>
        <v>0</v>
      </c>
      <c r="H19" s="281">
        <f t="shared" si="6"/>
        <v>78.375132728348348</v>
      </c>
      <c r="I19" s="281">
        <f t="shared" si="6"/>
        <v>0</v>
      </c>
      <c r="J19" s="281"/>
      <c r="K19" s="281">
        <f t="shared" si="6"/>
        <v>206.69098153846159</v>
      </c>
      <c r="L19" s="281">
        <f t="shared" si="6"/>
        <v>64.541949001616231</v>
      </c>
      <c r="M19" s="281">
        <f t="shared" si="6"/>
        <v>0</v>
      </c>
      <c r="N19" s="281">
        <f t="shared" si="6"/>
        <v>0</v>
      </c>
      <c r="O19" s="262">
        <f t="shared" si="1"/>
        <v>3265.51867005655</v>
      </c>
    </row>
    <row r="20" spans="1:15">
      <c r="A20" s="404"/>
      <c r="B20" s="390"/>
      <c r="C20" s="393"/>
      <c r="D20" s="342"/>
      <c r="E20" s="129" t="s">
        <v>33</v>
      </c>
      <c r="F20" s="226">
        <f>SUM(F16:F19)</f>
        <v>6093.8177887557404</v>
      </c>
      <c r="G20" s="226">
        <f t="shared" ref="G20:N20" si="7">SUM(G16:G19)</f>
        <v>0</v>
      </c>
      <c r="H20" s="226">
        <f t="shared" si="7"/>
        <v>118.59823377050051</v>
      </c>
      <c r="I20" s="226">
        <f t="shared" si="7"/>
        <v>1935.9717112548515</v>
      </c>
      <c r="J20" s="226">
        <f t="shared" si="7"/>
        <v>0</v>
      </c>
      <c r="K20" s="226">
        <f t="shared" si="7"/>
        <v>312.76738543737395</v>
      </c>
      <c r="L20" s="226">
        <f t="shared" si="7"/>
        <v>97.665686669117974</v>
      </c>
      <c r="M20" s="226">
        <f t="shared" si="7"/>
        <v>805.565976714101</v>
      </c>
      <c r="N20" s="85">
        <f t="shared" si="7"/>
        <v>429.4500000000001</v>
      </c>
      <c r="O20" s="263">
        <f t="shared" si="1"/>
        <v>9793.8367826016856</v>
      </c>
    </row>
    <row r="21" spans="1:15">
      <c r="A21" s="402" t="s">
        <v>313</v>
      </c>
      <c r="B21" s="388">
        <v>386.5</v>
      </c>
      <c r="C21" s="391">
        <f xml:space="preserve"> B21 / $B$6</f>
        <v>0.1</v>
      </c>
      <c r="D21" s="340">
        <f t="shared" ref="D21" si="8" xml:space="preserve"> C21 * $D$6</f>
        <v>56.300000000000004</v>
      </c>
      <c r="E21" s="30" t="s">
        <v>69</v>
      </c>
      <c r="F21" s="281">
        <f xml:space="preserve"> F6 * $C$21</f>
        <v>112.2</v>
      </c>
      <c r="G21" s="281">
        <f t="shared" ref="G21:N21" si="9" xml:space="preserve"> G6 * $C$21</f>
        <v>0</v>
      </c>
      <c r="H21" s="281">
        <f t="shared" si="9"/>
        <v>0</v>
      </c>
      <c r="I21" s="281">
        <f t="shared" si="9"/>
        <v>2903.92</v>
      </c>
      <c r="J21" s="281"/>
      <c r="K21" s="281">
        <f t="shared" si="9"/>
        <v>0</v>
      </c>
      <c r="L21" s="281">
        <f t="shared" si="9"/>
        <v>0</v>
      </c>
      <c r="M21" s="281">
        <f t="shared" si="9"/>
        <v>1208.3333333333335</v>
      </c>
      <c r="N21" s="281">
        <f t="shared" si="9"/>
        <v>644.16666666666674</v>
      </c>
      <c r="O21" s="262">
        <f t="shared" si="1"/>
        <v>4868.62</v>
      </c>
    </row>
    <row r="22" spans="1:15">
      <c r="A22" s="403"/>
      <c r="B22" s="389"/>
      <c r="C22" s="392"/>
      <c r="D22" s="341"/>
      <c r="E22" s="30" t="s">
        <v>66</v>
      </c>
      <c r="F22" s="281">
        <f t="shared" ref="F22:N24" si="10" xml:space="preserve"> F7 * $C$21</f>
        <v>2409.9053063920542</v>
      </c>
      <c r="G22" s="281">
        <f t="shared" si="10"/>
        <v>0</v>
      </c>
      <c r="H22" s="281">
        <f t="shared" si="10"/>
        <v>0</v>
      </c>
      <c r="I22" s="281">
        <f t="shared" si="10"/>
        <v>0</v>
      </c>
      <c r="J22" s="281"/>
      <c r="K22" s="281">
        <f t="shared" si="10"/>
        <v>0</v>
      </c>
      <c r="L22" s="281">
        <f t="shared" si="10"/>
        <v>0</v>
      </c>
      <c r="M22" s="281">
        <f t="shared" si="10"/>
        <v>0</v>
      </c>
      <c r="N22" s="281">
        <f t="shared" si="10"/>
        <v>0</v>
      </c>
      <c r="O22" s="262">
        <f t="shared" si="1"/>
        <v>2409.9053063920542</v>
      </c>
    </row>
    <row r="23" spans="1:15">
      <c r="A23" s="403"/>
      <c r="B23" s="389"/>
      <c r="C23" s="392"/>
      <c r="D23" s="341"/>
      <c r="E23" s="30" t="s">
        <v>67</v>
      </c>
      <c r="F23" s="281">
        <f t="shared" si="10"/>
        <v>2244.6938003354799</v>
      </c>
      <c r="G23" s="281">
        <f t="shared" si="10"/>
        <v>0</v>
      </c>
      <c r="H23" s="281">
        <f t="shared" si="10"/>
        <v>60.333871047432012</v>
      </c>
      <c r="I23" s="281">
        <f t="shared" si="10"/>
        <v>0</v>
      </c>
      <c r="J23" s="281"/>
      <c r="K23" s="281">
        <f t="shared" si="10"/>
        <v>159.11254747129908</v>
      </c>
      <c r="L23" s="281">
        <f t="shared" si="10"/>
        <v>49.684963746223559</v>
      </c>
      <c r="M23" s="281">
        <f t="shared" si="10"/>
        <v>0</v>
      </c>
      <c r="N23" s="281">
        <f t="shared" si="10"/>
        <v>0</v>
      </c>
      <c r="O23" s="262">
        <f t="shared" si="1"/>
        <v>2513.8251826004343</v>
      </c>
    </row>
    <row r="24" spans="1:15">
      <c r="A24" s="403"/>
      <c r="B24" s="389"/>
      <c r="C24" s="392"/>
      <c r="D24" s="341"/>
      <c r="E24" s="30" t="s">
        <v>68</v>
      </c>
      <c r="F24" s="281">
        <f t="shared" si="10"/>
        <v>4373.8093279140367</v>
      </c>
      <c r="G24" s="281">
        <f t="shared" si="10"/>
        <v>0</v>
      </c>
      <c r="H24" s="281">
        <f t="shared" si="10"/>
        <v>117.56117824933688</v>
      </c>
      <c r="I24" s="281">
        <f t="shared" si="10"/>
        <v>0</v>
      </c>
      <c r="J24" s="281"/>
      <c r="K24" s="281">
        <f t="shared" si="10"/>
        <v>310.03246153846158</v>
      </c>
      <c r="L24" s="281">
        <f t="shared" si="10"/>
        <v>96.811671087533171</v>
      </c>
      <c r="M24" s="281">
        <f t="shared" si="10"/>
        <v>0</v>
      </c>
      <c r="N24" s="281">
        <f t="shared" si="10"/>
        <v>0</v>
      </c>
      <c r="O24" s="262">
        <f t="shared" si="1"/>
        <v>4898.2146387893681</v>
      </c>
    </row>
    <row r="25" spans="1:15">
      <c r="A25" s="404"/>
      <c r="B25" s="390"/>
      <c r="C25" s="393"/>
      <c r="D25" s="342"/>
      <c r="E25" s="129" t="s">
        <v>33</v>
      </c>
      <c r="F25" s="226">
        <f>SUM(F21:F24)</f>
        <v>9140.6084346415701</v>
      </c>
      <c r="G25" s="226">
        <f t="shared" ref="G25:N25" si="11">SUM(G21:G24)</f>
        <v>0</v>
      </c>
      <c r="H25" s="226">
        <f t="shared" si="11"/>
        <v>177.89504929676889</v>
      </c>
      <c r="I25" s="226">
        <f t="shared" si="11"/>
        <v>2903.92</v>
      </c>
      <c r="J25" s="226">
        <f t="shared" si="11"/>
        <v>0</v>
      </c>
      <c r="K25" s="226">
        <f t="shared" si="11"/>
        <v>469.14500900976066</v>
      </c>
      <c r="L25" s="226">
        <f t="shared" si="11"/>
        <v>146.49663483375673</v>
      </c>
      <c r="M25" s="226">
        <f t="shared" si="11"/>
        <v>1208.3333333333335</v>
      </c>
      <c r="N25" s="85">
        <f t="shared" si="11"/>
        <v>644.16666666666674</v>
      </c>
      <c r="O25" s="263">
        <f t="shared" si="1"/>
        <v>14690.565127781856</v>
      </c>
    </row>
    <row r="26" spans="1:15">
      <c r="A26" s="402" t="s">
        <v>376</v>
      </c>
      <c r="B26" s="388">
        <v>328.53</v>
      </c>
      <c r="C26" s="391">
        <f xml:space="preserve"> B26 / $B$6</f>
        <v>8.5001293661060795E-2</v>
      </c>
      <c r="D26" s="340">
        <f t="shared" ref="D26" si="12" xml:space="preserve"> C26 * $D$6</f>
        <v>47.855728331177225</v>
      </c>
      <c r="E26" s="30" t="s">
        <v>69</v>
      </c>
      <c r="F26" s="281">
        <f xml:space="preserve"> F6 * $C$26</f>
        <v>95.371451487710218</v>
      </c>
      <c r="G26" s="281">
        <f t="shared" ref="G26:N26" si="13" xml:space="preserve"> G6 * $C$26</f>
        <v>0</v>
      </c>
      <c r="H26" s="281">
        <f t="shared" si="13"/>
        <v>0</v>
      </c>
      <c r="I26" s="281">
        <f t="shared" si="13"/>
        <v>2468.3695668822766</v>
      </c>
      <c r="J26" s="281"/>
      <c r="K26" s="281">
        <f t="shared" si="13"/>
        <v>0</v>
      </c>
      <c r="L26" s="281">
        <f t="shared" si="13"/>
        <v>0</v>
      </c>
      <c r="M26" s="281">
        <f t="shared" si="13"/>
        <v>1027.0989650711513</v>
      </c>
      <c r="N26" s="281">
        <f t="shared" si="13"/>
        <v>547.54999999999995</v>
      </c>
      <c r="O26" s="262">
        <f t="shared" si="1"/>
        <v>4138.3899834411377</v>
      </c>
    </row>
    <row r="27" spans="1:15">
      <c r="A27" s="403"/>
      <c r="B27" s="389"/>
      <c r="C27" s="392"/>
      <c r="D27" s="341"/>
      <c r="E27" s="30" t="s">
        <v>66</v>
      </c>
      <c r="F27" s="281">
        <f t="shared" ref="F27:N29" si="14" xml:space="preserve"> F7 * $C$26</f>
        <v>2048.4506864397968</v>
      </c>
      <c r="G27" s="281">
        <f t="shared" si="14"/>
        <v>0</v>
      </c>
      <c r="H27" s="281">
        <f t="shared" si="14"/>
        <v>0</v>
      </c>
      <c r="I27" s="281">
        <f t="shared" si="14"/>
        <v>0</v>
      </c>
      <c r="J27" s="281">
        <f t="shared" si="14"/>
        <v>0</v>
      </c>
      <c r="K27" s="281">
        <f t="shared" si="14"/>
        <v>0</v>
      </c>
      <c r="L27" s="281">
        <f t="shared" si="14"/>
        <v>0</v>
      </c>
      <c r="M27" s="281">
        <f t="shared" si="14"/>
        <v>0</v>
      </c>
      <c r="N27" s="281">
        <f t="shared" si="14"/>
        <v>0</v>
      </c>
      <c r="O27" s="262">
        <f t="shared" si="1"/>
        <v>2048.4506864397968</v>
      </c>
    </row>
    <row r="28" spans="1:15">
      <c r="A28" s="403"/>
      <c r="B28" s="389"/>
      <c r="C28" s="392"/>
      <c r="D28" s="341"/>
      <c r="E28" s="30" t="s">
        <v>67</v>
      </c>
      <c r="F28" s="281">
        <f t="shared" si="14"/>
        <v>1908.0187690147868</v>
      </c>
      <c r="G28" s="281">
        <f t="shared" si="14"/>
        <v>0</v>
      </c>
      <c r="H28" s="281">
        <f t="shared" si="14"/>
        <v>51.284570906113423</v>
      </c>
      <c r="I28" s="281">
        <f t="shared" si="14"/>
        <v>0</v>
      </c>
      <c r="J28" s="281">
        <f t="shared" si="14"/>
        <v>0</v>
      </c>
      <c r="K28" s="281">
        <f t="shared" si="14"/>
        <v>135.2477237276737</v>
      </c>
      <c r="L28" s="281">
        <f t="shared" si="14"/>
        <v>42.232861939319079</v>
      </c>
      <c r="M28" s="281">
        <f t="shared" si="14"/>
        <v>0</v>
      </c>
      <c r="N28" s="281">
        <f t="shared" si="14"/>
        <v>0</v>
      </c>
      <c r="O28" s="262">
        <f t="shared" si="1"/>
        <v>2136.7839255878935</v>
      </c>
    </row>
    <row r="29" spans="1:15">
      <c r="A29" s="403"/>
      <c r="B29" s="389"/>
      <c r="C29" s="392"/>
      <c r="D29" s="341"/>
      <c r="E29" s="30" t="s">
        <v>68</v>
      </c>
      <c r="F29" s="281">
        <f t="shared" si="14"/>
        <v>3717.7945109950792</v>
      </c>
      <c r="G29" s="281">
        <f t="shared" si="14"/>
        <v>0</v>
      </c>
      <c r="H29" s="281">
        <f t="shared" si="14"/>
        <v>99.92852235512197</v>
      </c>
      <c r="I29" s="281">
        <f t="shared" si="14"/>
        <v>0</v>
      </c>
      <c r="J29" s="281">
        <f t="shared" si="14"/>
        <v>0</v>
      </c>
      <c r="K29" s="281">
        <f t="shared" si="14"/>
        <v>263.53160307692309</v>
      </c>
      <c r="L29" s="281">
        <f t="shared" si="14"/>
        <v>82.291172839294347</v>
      </c>
      <c r="M29" s="281">
        <f t="shared" si="14"/>
        <v>0</v>
      </c>
      <c r="N29" s="281">
        <f t="shared" si="14"/>
        <v>0</v>
      </c>
      <c r="O29" s="262">
        <f t="shared" si="1"/>
        <v>4163.5458092664185</v>
      </c>
    </row>
    <row r="30" spans="1:15">
      <c r="A30" s="404"/>
      <c r="B30" s="390"/>
      <c r="C30" s="393"/>
      <c r="D30" s="342"/>
      <c r="E30" s="129" t="s">
        <v>33</v>
      </c>
      <c r="F30" s="226">
        <f>SUM(F26:F29)</f>
        <v>7769.6354179373729</v>
      </c>
      <c r="G30" s="226">
        <f t="shared" ref="G30:N30" si="15">SUM(G26:G29)</f>
        <v>0</v>
      </c>
      <c r="H30" s="226">
        <f t="shared" si="15"/>
        <v>151.2130932612354</v>
      </c>
      <c r="I30" s="226">
        <f t="shared" si="15"/>
        <v>2468.3695668822766</v>
      </c>
      <c r="J30" s="226">
        <f t="shared" si="15"/>
        <v>0</v>
      </c>
      <c r="K30" s="226">
        <f t="shared" si="15"/>
        <v>398.77932680459679</v>
      </c>
      <c r="L30" s="226">
        <f t="shared" si="15"/>
        <v>124.52403477861343</v>
      </c>
      <c r="M30" s="226">
        <f t="shared" si="15"/>
        <v>1027.0989650711513</v>
      </c>
      <c r="N30" s="85">
        <f t="shared" si="15"/>
        <v>547.54999999999995</v>
      </c>
      <c r="O30" s="263">
        <f t="shared" ref="O30" si="16">SUM(F30:N30)</f>
        <v>12487.170404735245</v>
      </c>
    </row>
    <row r="31" spans="1:15" ht="14.1" customHeight="1">
      <c r="A31" s="402" t="s">
        <v>314</v>
      </c>
      <c r="B31" s="388">
        <v>315.64</v>
      </c>
      <c r="C31" s="391">
        <f xml:space="preserve"> B31 / $B$6</f>
        <v>8.166623544631306E-2</v>
      </c>
      <c r="D31" s="340">
        <f t="shared" ref="D31" si="17" xml:space="preserve"> C31 * $D$6</f>
        <v>45.978090556274253</v>
      </c>
      <c r="E31" s="30" t="s">
        <v>69</v>
      </c>
      <c r="F31" s="281">
        <f xml:space="preserve"> F6 * $C$31</f>
        <v>91.629516170763253</v>
      </c>
      <c r="G31" s="281">
        <f t="shared" ref="G31:M34" si="18" xml:space="preserve"> G6 * $C$31</f>
        <v>0</v>
      </c>
      <c r="H31" s="281">
        <f t="shared" si="18"/>
        <v>0</v>
      </c>
      <c r="I31" s="281">
        <f t="shared" si="18"/>
        <v>2371.5221443725741</v>
      </c>
      <c r="J31" s="281"/>
      <c r="K31" s="281">
        <f t="shared" si="18"/>
        <v>0</v>
      </c>
      <c r="L31" s="281">
        <f t="shared" si="18"/>
        <v>0</v>
      </c>
      <c r="M31" s="281">
        <f t="shared" si="18"/>
        <v>986.80034497628287</v>
      </c>
      <c r="N31" s="281">
        <f xml:space="preserve"> N6 * $C$31</f>
        <v>526.06666666666661</v>
      </c>
      <c r="O31" s="262">
        <f t="shared" si="1"/>
        <v>3976.0186721862865</v>
      </c>
    </row>
    <row r="32" spans="1:15">
      <c r="A32" s="403"/>
      <c r="B32" s="389"/>
      <c r="C32" s="392"/>
      <c r="D32" s="341"/>
      <c r="E32" s="30" t="s">
        <v>66</v>
      </c>
      <c r="F32" s="281">
        <f xml:space="preserve"> F7 * $C$31</f>
        <v>1968.0789415513273</v>
      </c>
      <c r="G32" s="281">
        <f t="shared" si="18"/>
        <v>0</v>
      </c>
      <c r="H32" s="281">
        <f t="shared" si="18"/>
        <v>0</v>
      </c>
      <c r="I32" s="281">
        <f t="shared" si="18"/>
        <v>0</v>
      </c>
      <c r="J32" s="281"/>
      <c r="K32" s="281">
        <f t="shared" si="18"/>
        <v>0</v>
      </c>
      <c r="L32" s="281">
        <f t="shared" si="18"/>
        <v>0</v>
      </c>
      <c r="M32" s="281">
        <f t="shared" si="18"/>
        <v>0</v>
      </c>
      <c r="N32" s="281">
        <f xml:space="preserve"> N7 * $C$31</f>
        <v>0</v>
      </c>
      <c r="O32" s="262">
        <f t="shared" si="1"/>
        <v>1968.0789415513273</v>
      </c>
    </row>
    <row r="33" spans="1:15">
      <c r="A33" s="403"/>
      <c r="B33" s="389"/>
      <c r="C33" s="392"/>
      <c r="D33" s="341"/>
      <c r="E33" s="30" t="s">
        <v>67</v>
      </c>
      <c r="F33" s="281">
        <f xml:space="preserve"> F8 * $C$31</f>
        <v>1833.1569240307651</v>
      </c>
      <c r="G33" s="281">
        <f t="shared" si="18"/>
        <v>0</v>
      </c>
      <c r="H33" s="281">
        <f t="shared" si="18"/>
        <v>49.272401183470734</v>
      </c>
      <c r="I33" s="281">
        <f t="shared" si="18"/>
        <v>0</v>
      </c>
      <c r="J33" s="281"/>
      <c r="K33" s="281">
        <f t="shared" si="18"/>
        <v>129.94122764253774</v>
      </c>
      <c r="L33" s="281">
        <f t="shared" si="18"/>
        <v>40.575839474406216</v>
      </c>
      <c r="M33" s="281">
        <f t="shared" si="18"/>
        <v>0</v>
      </c>
      <c r="N33" s="281">
        <f xml:space="preserve"> N8 * $C$31</f>
        <v>0</v>
      </c>
      <c r="O33" s="262">
        <f t="shared" si="1"/>
        <v>2052.94639233118</v>
      </c>
    </row>
    <row r="34" spans="1:15">
      <c r="A34" s="403"/>
      <c r="B34" s="389"/>
      <c r="C34" s="392"/>
      <c r="D34" s="341"/>
      <c r="E34" s="30" t="s">
        <v>68</v>
      </c>
      <c r="F34" s="281">
        <f xml:space="preserve"> F9 * $C$31</f>
        <v>3571.9254237070795</v>
      </c>
      <c r="G34" s="281">
        <f t="shared" si="18"/>
        <v>0</v>
      </c>
      <c r="H34" s="281">
        <f t="shared" si="18"/>
        <v>96.007788622563226</v>
      </c>
      <c r="I34" s="281">
        <f t="shared" si="18"/>
        <v>0</v>
      </c>
      <c r="J34" s="281"/>
      <c r="K34" s="281">
        <f t="shared" si="18"/>
        <v>253.19184000000001</v>
      </c>
      <c r="L34" s="281">
        <f t="shared" si="18"/>
        <v>79.062447249855012</v>
      </c>
      <c r="M34" s="281">
        <f t="shared" si="18"/>
        <v>0</v>
      </c>
      <c r="N34" s="281">
        <f xml:space="preserve"> N9 * $C$31</f>
        <v>0</v>
      </c>
      <c r="O34" s="262">
        <f t="shared" si="1"/>
        <v>4000.1874995794974</v>
      </c>
    </row>
    <row r="35" spans="1:15">
      <c r="A35" s="404"/>
      <c r="B35" s="390"/>
      <c r="C35" s="393"/>
      <c r="D35" s="342"/>
      <c r="E35" s="129" t="s">
        <v>33</v>
      </c>
      <c r="F35" s="226">
        <f>SUM(F31:F34)</f>
        <v>7464.7908054599357</v>
      </c>
      <c r="G35" s="226">
        <f t="shared" ref="G35:N35" si="19">SUM(G31:G34)</f>
        <v>0</v>
      </c>
      <c r="H35" s="226">
        <f t="shared" si="19"/>
        <v>145.28018980603395</v>
      </c>
      <c r="I35" s="226">
        <f t="shared" si="19"/>
        <v>2371.5221443725741</v>
      </c>
      <c r="J35" s="226">
        <f t="shared" si="19"/>
        <v>0</v>
      </c>
      <c r="K35" s="226">
        <f t="shared" si="19"/>
        <v>383.13306764253775</v>
      </c>
      <c r="L35" s="226">
        <f t="shared" si="19"/>
        <v>119.63828672426123</v>
      </c>
      <c r="M35" s="226">
        <f t="shared" si="19"/>
        <v>986.80034497628287</v>
      </c>
      <c r="N35" s="85">
        <f t="shared" si="19"/>
        <v>526.06666666666661</v>
      </c>
      <c r="O35" s="263">
        <f t="shared" si="1"/>
        <v>11997.231505648291</v>
      </c>
    </row>
    <row r="36" spans="1:15">
      <c r="A36" s="402" t="s">
        <v>315</v>
      </c>
      <c r="B36" s="388">
        <v>1932.51</v>
      </c>
      <c r="C36" s="391">
        <f xml:space="preserve"> B36 / $B$6</f>
        <v>0.50000258732212155</v>
      </c>
      <c r="D36" s="340">
        <f t="shared" ref="D36" si="20" xml:space="preserve"> C36 * $D$6</f>
        <v>281.50145666235443</v>
      </c>
      <c r="E36" s="30" t="s">
        <v>69</v>
      </c>
      <c r="F36" s="281">
        <f xml:space="preserve"> F6 * $C$36</f>
        <v>561.0029029754204</v>
      </c>
      <c r="G36" s="281">
        <f t="shared" ref="G36:N39" si="21" xml:space="preserve"> G6 * $C$36</f>
        <v>0</v>
      </c>
      <c r="H36" s="281">
        <f t="shared" si="21"/>
        <v>0</v>
      </c>
      <c r="I36" s="281">
        <f t="shared" si="21"/>
        <v>14519.675133764553</v>
      </c>
      <c r="J36" s="281">
        <f xml:space="preserve"> J6</f>
        <v>15819.6</v>
      </c>
      <c r="K36" s="281">
        <f t="shared" si="21"/>
        <v>0</v>
      </c>
      <c r="L36" s="281">
        <f t="shared" si="21"/>
        <v>0</v>
      </c>
      <c r="M36" s="281">
        <f t="shared" si="21"/>
        <v>6041.6979301423025</v>
      </c>
      <c r="N36" s="281">
        <f t="shared" si="21"/>
        <v>3220.85</v>
      </c>
      <c r="O36" s="262">
        <f t="shared" si="1"/>
        <v>40162.825966882279</v>
      </c>
    </row>
    <row r="37" spans="1:15">
      <c r="A37" s="403"/>
      <c r="B37" s="389"/>
      <c r="C37" s="392"/>
      <c r="D37" s="341"/>
      <c r="E37" s="30" t="s">
        <v>66</v>
      </c>
      <c r="F37" s="281">
        <f xml:space="preserve"> F7 * $C$36</f>
        <v>12049.588883973373</v>
      </c>
      <c r="G37" s="281">
        <f t="shared" si="21"/>
        <v>0</v>
      </c>
      <c r="H37" s="281">
        <f t="shared" si="21"/>
        <v>0</v>
      </c>
      <c r="I37" s="281">
        <f t="shared" si="21"/>
        <v>0</v>
      </c>
      <c r="J37" s="281">
        <f t="shared" si="21"/>
        <v>0</v>
      </c>
      <c r="K37" s="281">
        <f t="shared" si="21"/>
        <v>0</v>
      </c>
      <c r="L37" s="281">
        <f t="shared" si="21"/>
        <v>0</v>
      </c>
      <c r="M37" s="281">
        <f t="shared" si="21"/>
        <v>0</v>
      </c>
      <c r="N37" s="281">
        <f t="shared" si="21"/>
        <v>0</v>
      </c>
      <c r="O37" s="262">
        <f t="shared" si="1"/>
        <v>12049.588883973373</v>
      </c>
    </row>
    <row r="38" spans="1:15">
      <c r="A38" s="403"/>
      <c r="B38" s="389"/>
      <c r="C38" s="392"/>
      <c r="D38" s="341"/>
      <c r="E38" s="30" t="s">
        <v>67</v>
      </c>
      <c r="F38" s="281">
        <f xml:space="preserve"> F8 * $C$36</f>
        <v>11223.527079136655</v>
      </c>
      <c r="G38" s="281">
        <f t="shared" si="21"/>
        <v>0</v>
      </c>
      <c r="H38" s="281">
        <f t="shared" si="21"/>
        <v>301.67091626875248</v>
      </c>
      <c r="I38" s="281">
        <f t="shared" si="21"/>
        <v>0</v>
      </c>
      <c r="J38" s="281">
        <f t="shared" si="21"/>
        <v>0</v>
      </c>
      <c r="K38" s="281">
        <f t="shared" si="21"/>
        <v>795.56685411063427</v>
      </c>
      <c r="L38" s="281">
        <f t="shared" si="21"/>
        <v>248.42610424117589</v>
      </c>
      <c r="M38" s="281">
        <f t="shared" si="21"/>
        <v>0</v>
      </c>
      <c r="N38" s="281">
        <f t="shared" si="21"/>
        <v>0</v>
      </c>
      <c r="O38" s="262">
        <f t="shared" si="1"/>
        <v>12569.190953757219</v>
      </c>
    </row>
    <row r="39" spans="1:15">
      <c r="A39" s="403"/>
      <c r="B39" s="389"/>
      <c r="C39" s="392"/>
      <c r="D39" s="341"/>
      <c r="E39" s="30" t="s">
        <v>68</v>
      </c>
      <c r="F39" s="281">
        <f xml:space="preserve"> F9 * $C$36</f>
        <v>21869.159804106475</v>
      </c>
      <c r="G39" s="281">
        <f t="shared" si="21"/>
        <v>0</v>
      </c>
      <c r="H39" s="281">
        <f t="shared" si="21"/>
        <v>587.80893293305553</v>
      </c>
      <c r="I39" s="281">
        <f t="shared" si="21"/>
        <v>0</v>
      </c>
      <c r="J39" s="281">
        <f t="shared" si="21"/>
        <v>0</v>
      </c>
      <c r="K39" s="281">
        <f t="shared" si="21"/>
        <v>1550.1703292307693</v>
      </c>
      <c r="L39" s="281">
        <f t="shared" si="21"/>
        <v>484.06086026744811</v>
      </c>
      <c r="M39" s="281">
        <f t="shared" si="21"/>
        <v>0</v>
      </c>
      <c r="N39" s="281">
        <f t="shared" si="21"/>
        <v>0</v>
      </c>
      <c r="O39" s="262">
        <f t="shared" si="1"/>
        <v>24491.199926537745</v>
      </c>
    </row>
    <row r="40" spans="1:15">
      <c r="A40" s="404"/>
      <c r="B40" s="390"/>
      <c r="C40" s="393"/>
      <c r="D40" s="342"/>
      <c r="E40" s="129" t="s">
        <v>33</v>
      </c>
      <c r="F40" s="226">
        <f>SUM(F36:F39)</f>
        <v>45703.278670191925</v>
      </c>
      <c r="G40" s="226">
        <f t="shared" ref="G40:N40" si="22">SUM(G36:G39)</f>
        <v>0</v>
      </c>
      <c r="H40" s="226">
        <f t="shared" si="22"/>
        <v>889.47984920180807</v>
      </c>
      <c r="I40" s="226">
        <f t="shared" si="22"/>
        <v>14519.675133764553</v>
      </c>
      <c r="J40" s="226">
        <f t="shared" si="22"/>
        <v>15819.6</v>
      </c>
      <c r="K40" s="226">
        <f t="shared" si="22"/>
        <v>2345.7371833414036</v>
      </c>
      <c r="L40" s="226">
        <f t="shared" si="22"/>
        <v>732.48696450862394</v>
      </c>
      <c r="M40" s="226">
        <f t="shared" si="22"/>
        <v>6041.6979301423025</v>
      </c>
      <c r="N40" s="85">
        <f t="shared" si="22"/>
        <v>3220.85</v>
      </c>
      <c r="O40" s="263">
        <f t="shared" si="1"/>
        <v>89272.805731150627</v>
      </c>
    </row>
    <row r="41" spans="1:15">
      <c r="A41" s="319" t="s">
        <v>316</v>
      </c>
      <c r="B41" s="397">
        <f>SUM(B11:B40)</f>
        <v>3865.0199999999995</v>
      </c>
      <c r="C41" s="325">
        <f>SUM(C11:C40)</f>
        <v>1.0000051746442431</v>
      </c>
      <c r="D41" s="328">
        <f>SUM(D11:D40)</f>
        <v>563.00291332470897</v>
      </c>
      <c r="E41" s="84" t="s">
        <v>69</v>
      </c>
      <c r="F41" s="226">
        <f xml:space="preserve"> F11 + F16 + F21 +F26 + F31 + F36</f>
        <v>1122.0058059508408</v>
      </c>
      <c r="G41" s="226">
        <f t="shared" ref="G41:O41" si="23" xml:space="preserve"> G11 + G16 + G21 +G26 + G31 + G36</f>
        <v>0</v>
      </c>
      <c r="H41" s="226">
        <f t="shared" si="23"/>
        <v>0</v>
      </c>
      <c r="I41" s="226">
        <f t="shared" si="23"/>
        <v>29039.350267529109</v>
      </c>
      <c r="J41" s="226">
        <f t="shared" si="23"/>
        <v>15819.6</v>
      </c>
      <c r="K41" s="226">
        <f t="shared" si="23"/>
        <v>0</v>
      </c>
      <c r="L41" s="226">
        <f t="shared" si="23"/>
        <v>0</v>
      </c>
      <c r="M41" s="226">
        <f t="shared" si="23"/>
        <v>12083.395860284605</v>
      </c>
      <c r="N41" s="226">
        <f t="shared" si="23"/>
        <v>6441.7000000000007</v>
      </c>
      <c r="O41" s="226">
        <f t="shared" si="23"/>
        <v>64506.051933764553</v>
      </c>
    </row>
    <row r="42" spans="1:15">
      <c r="A42" s="320"/>
      <c r="B42" s="398"/>
      <c r="C42" s="326"/>
      <c r="D42" s="329"/>
      <c r="E42" s="84" t="s">
        <v>66</v>
      </c>
      <c r="F42" s="226">
        <f t="shared" ref="F42:O44" si="24" xml:space="preserve"> F12 + F17 + F22 +F27 + F32 + F37</f>
        <v>24099.177767946749</v>
      </c>
      <c r="G42" s="226">
        <f t="shared" si="24"/>
        <v>0</v>
      </c>
      <c r="H42" s="226">
        <f t="shared" si="24"/>
        <v>0</v>
      </c>
      <c r="I42" s="226">
        <f t="shared" si="24"/>
        <v>0</v>
      </c>
      <c r="J42" s="226">
        <f t="shared" si="24"/>
        <v>0</v>
      </c>
      <c r="K42" s="226">
        <f t="shared" si="24"/>
        <v>0</v>
      </c>
      <c r="L42" s="226">
        <f t="shared" si="24"/>
        <v>0</v>
      </c>
      <c r="M42" s="226">
        <f t="shared" si="24"/>
        <v>0</v>
      </c>
      <c r="N42" s="226">
        <f t="shared" si="24"/>
        <v>0</v>
      </c>
      <c r="O42" s="226">
        <f t="shared" si="24"/>
        <v>24099.177767946749</v>
      </c>
    </row>
    <row r="43" spans="1:15">
      <c r="A43" s="320"/>
      <c r="B43" s="398"/>
      <c r="C43" s="326"/>
      <c r="D43" s="329"/>
      <c r="E43" s="84" t="s">
        <v>67</v>
      </c>
      <c r="F43" s="226">
        <f t="shared" si="24"/>
        <v>22447.054158273313</v>
      </c>
      <c r="G43" s="226">
        <f t="shared" si="24"/>
        <v>0</v>
      </c>
      <c r="H43" s="226">
        <f t="shared" si="24"/>
        <v>603.34183253750496</v>
      </c>
      <c r="I43" s="226">
        <f t="shared" si="24"/>
        <v>0</v>
      </c>
      <c r="J43" s="226">
        <f t="shared" si="24"/>
        <v>0</v>
      </c>
      <c r="K43" s="226">
        <f t="shared" si="24"/>
        <v>1591.1337082212685</v>
      </c>
      <c r="L43" s="226">
        <f t="shared" si="24"/>
        <v>496.85220848235178</v>
      </c>
      <c r="M43" s="226">
        <f t="shared" si="24"/>
        <v>0</v>
      </c>
      <c r="N43" s="226">
        <f t="shared" si="24"/>
        <v>0</v>
      </c>
      <c r="O43" s="226">
        <f t="shared" si="24"/>
        <v>25138.381907514438</v>
      </c>
    </row>
    <row r="44" spans="1:15">
      <c r="A44" s="320"/>
      <c r="B44" s="398"/>
      <c r="C44" s="326"/>
      <c r="D44" s="329"/>
      <c r="E44" s="84" t="s">
        <v>68</v>
      </c>
      <c r="F44" s="226">
        <f t="shared" si="24"/>
        <v>43738.319608212951</v>
      </c>
      <c r="G44" s="226">
        <f t="shared" si="24"/>
        <v>0</v>
      </c>
      <c r="H44" s="226">
        <f t="shared" si="24"/>
        <v>1175.6178658661111</v>
      </c>
      <c r="I44" s="226">
        <f t="shared" si="24"/>
        <v>0</v>
      </c>
      <c r="J44" s="226">
        <f t="shared" si="24"/>
        <v>0</v>
      </c>
      <c r="K44" s="226">
        <f t="shared" si="24"/>
        <v>3100.3406584615386</v>
      </c>
      <c r="L44" s="226">
        <f t="shared" si="24"/>
        <v>968.12172053489621</v>
      </c>
      <c r="M44" s="226">
        <f t="shared" si="24"/>
        <v>0</v>
      </c>
      <c r="N44" s="226">
        <f t="shared" si="24"/>
        <v>0</v>
      </c>
      <c r="O44" s="226">
        <f t="shared" si="24"/>
        <v>48982.399853075491</v>
      </c>
    </row>
    <row r="45" spans="1:15">
      <c r="A45" s="321"/>
      <c r="B45" s="399"/>
      <c r="C45" s="327"/>
      <c r="D45" s="330"/>
      <c r="E45" s="84" t="s">
        <v>33</v>
      </c>
      <c r="F45" s="226">
        <f>SUM(F41:F44)</f>
        <v>91406.55734038385</v>
      </c>
      <c r="G45" s="226">
        <f t="shared" ref="G45:O45" si="25">SUM(G41:G44)</f>
        <v>0</v>
      </c>
      <c r="H45" s="226">
        <f t="shared" si="25"/>
        <v>1778.9596984036161</v>
      </c>
      <c r="I45" s="226">
        <f t="shared" si="25"/>
        <v>29039.350267529109</v>
      </c>
      <c r="J45" s="226">
        <f t="shared" si="25"/>
        <v>15819.6</v>
      </c>
      <c r="K45" s="226">
        <f t="shared" si="25"/>
        <v>4691.4743666828072</v>
      </c>
      <c r="L45" s="226">
        <f t="shared" si="25"/>
        <v>1464.9739290172479</v>
      </c>
      <c r="M45" s="226">
        <f t="shared" si="25"/>
        <v>12083.395860284605</v>
      </c>
      <c r="N45" s="85">
        <f t="shared" si="25"/>
        <v>6441.7000000000007</v>
      </c>
      <c r="O45" s="261">
        <f t="shared" si="25"/>
        <v>162726.01146230125</v>
      </c>
    </row>
    <row r="46" spans="1:15" s="2" customFormat="1">
      <c r="A46"/>
      <c r="B46"/>
      <c r="C46"/>
      <c r="D46"/>
      <c r="E46"/>
      <c r="F46"/>
      <c r="I46" s="26"/>
      <c r="J46" s="26"/>
      <c r="K46" s="26"/>
      <c r="L46" s="26"/>
      <c r="M46" s="27"/>
      <c r="N46" s="27"/>
      <c r="O46" s="27"/>
    </row>
    <row r="47" spans="1:15" s="2" customFormat="1">
      <c r="A47"/>
      <c r="B47"/>
      <c r="C47"/>
      <c r="D47"/>
      <c r="E47"/>
      <c r="F47"/>
      <c r="I47" s="26"/>
      <c r="J47" s="26"/>
      <c r="K47" s="26"/>
      <c r="L47" s="26"/>
      <c r="M47" s="26"/>
      <c r="N47" s="26"/>
      <c r="O47" s="26"/>
    </row>
    <row r="48" spans="1:15" s="2" customFormat="1">
      <c r="A48"/>
      <c r="B48"/>
      <c r="C48"/>
      <c r="D48"/>
      <c r="E48"/>
      <c r="F48"/>
      <c r="I48" s="26"/>
      <c r="J48" s="26"/>
      <c r="K48" s="26"/>
      <c r="L48" s="26"/>
      <c r="M48" s="26"/>
      <c r="N48" s="26"/>
      <c r="O48" s="26"/>
    </row>
    <row r="49" spans="1:15" s="2" customFormat="1">
      <c r="A49"/>
      <c r="B49"/>
      <c r="C49"/>
      <c r="D49"/>
      <c r="E49"/>
      <c r="F49"/>
      <c r="I49" s="26"/>
      <c r="J49" s="26"/>
      <c r="K49" s="26"/>
      <c r="L49" s="26"/>
      <c r="M49" s="26"/>
      <c r="N49" s="26"/>
      <c r="O49" s="26"/>
    </row>
    <row r="50" spans="1:15" s="2" customFormat="1">
      <c r="A50"/>
      <c r="B50"/>
      <c r="C50"/>
      <c r="D50"/>
      <c r="E50"/>
      <c r="F50"/>
      <c r="I50" s="26"/>
      <c r="J50" s="26"/>
      <c r="K50" s="26"/>
      <c r="L50" s="26"/>
      <c r="M50" s="26"/>
      <c r="N50" s="26"/>
      <c r="O50" s="26"/>
    </row>
    <row r="51" spans="1:15" s="2" customFormat="1">
      <c r="A51"/>
      <c r="B51"/>
      <c r="C51"/>
      <c r="D51"/>
      <c r="E51"/>
      <c r="F51"/>
      <c r="I51" s="26"/>
      <c r="J51" s="26"/>
      <c r="K51" s="26"/>
      <c r="L51" s="26"/>
      <c r="M51" s="26"/>
      <c r="N51" s="26"/>
      <c r="O51" s="26"/>
    </row>
    <row r="52" spans="1:15" s="2" customFormat="1">
      <c r="A52"/>
      <c r="B52"/>
      <c r="C52"/>
      <c r="D52"/>
      <c r="E52"/>
      <c r="F52"/>
      <c r="I52" s="26"/>
      <c r="J52" s="26"/>
      <c r="K52" s="26"/>
      <c r="L52" s="26"/>
      <c r="M52" s="26"/>
      <c r="N52" s="26"/>
      <c r="O52" s="26"/>
    </row>
    <row r="53" spans="1:15" s="2" customFormat="1">
      <c r="A53"/>
      <c r="B53"/>
      <c r="C53"/>
      <c r="D53"/>
      <c r="E53"/>
      <c r="F53"/>
      <c r="I53" s="26"/>
      <c r="J53" s="26"/>
      <c r="K53" s="26"/>
      <c r="L53" s="26"/>
      <c r="M53" s="26"/>
      <c r="N53" s="26"/>
      <c r="O53" s="26"/>
    </row>
  </sheetData>
  <mergeCells count="33">
    <mergeCell ref="A41:A45"/>
    <mergeCell ref="B41:B45"/>
    <mergeCell ref="C41:C45"/>
    <mergeCell ref="D41:D45"/>
    <mergeCell ref="A31:A35"/>
    <mergeCell ref="B31:B35"/>
    <mergeCell ref="C31:C35"/>
    <mergeCell ref="D31:D35"/>
    <mergeCell ref="A36:A40"/>
    <mergeCell ref="B36:B40"/>
    <mergeCell ref="C36:C40"/>
    <mergeCell ref="D36:D40"/>
    <mergeCell ref="A26:A30"/>
    <mergeCell ref="B26:B30"/>
    <mergeCell ref="C26:C30"/>
    <mergeCell ref="D26:D30"/>
    <mergeCell ref="A21:A25"/>
    <mergeCell ref="B21:B25"/>
    <mergeCell ref="C21:C25"/>
    <mergeCell ref="D21:D25"/>
    <mergeCell ref="A16:A20"/>
    <mergeCell ref="B16:B20"/>
    <mergeCell ref="C16:C20"/>
    <mergeCell ref="D16:D20"/>
    <mergeCell ref="A11:A15"/>
    <mergeCell ref="B11:B15"/>
    <mergeCell ref="C11:C15"/>
    <mergeCell ref="D11:D15"/>
    <mergeCell ref="A2:O2"/>
    <mergeCell ref="A6:A10"/>
    <mergeCell ref="B6:B10"/>
    <mergeCell ref="C6:C10"/>
    <mergeCell ref="D6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A10" zoomScale="80" zoomScaleNormal="80" workbookViewId="0">
      <selection activeCell="D26" sqref="D26"/>
    </sheetView>
  </sheetViews>
  <sheetFormatPr defaultColWidth="9" defaultRowHeight="18.75"/>
  <cols>
    <col min="1" max="1" width="9" style="148"/>
    <col min="2" max="2" width="16.625" style="148" customWidth="1"/>
    <col min="3" max="3" width="52.1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2.125" style="165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219"/>
      <c r="C2" s="219"/>
      <c r="D2" s="219"/>
      <c r="E2" s="219"/>
      <c r="F2" s="219"/>
      <c r="G2" s="219"/>
      <c r="H2" s="219"/>
    </row>
    <row r="3" spans="2:15" ht="26.25">
      <c r="B3" s="372"/>
      <c r="C3" s="373"/>
      <c r="D3" s="219"/>
      <c r="E3" s="219"/>
      <c r="F3" s="219"/>
      <c r="G3" s="219"/>
      <c r="H3" s="219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318</v>
      </c>
      <c r="D5" s="166" t="s">
        <v>319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v>536</v>
      </c>
      <c r="E6" s="151"/>
      <c r="F6" s="151"/>
      <c r="G6" s="151"/>
      <c r="H6" s="181"/>
      <c r="I6" s="152" t="s">
        <v>240</v>
      </c>
      <c r="J6" s="361"/>
      <c r="K6" s="375">
        <f xml:space="preserve"> J6 / $D$6</f>
        <v>0</v>
      </c>
      <c r="L6" s="361">
        <f xml:space="preserve"> K6 * 12</f>
        <v>0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J16</f>
        <v>0</v>
      </c>
      <c r="E9" s="162">
        <f t="shared" ref="E9:F9" si="0" xml:space="preserve"> K16</f>
        <v>0</v>
      </c>
      <c r="F9" s="162">
        <f t="shared" si="0"/>
        <v>0</v>
      </c>
      <c r="G9" s="188"/>
      <c r="H9" s="21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6100.6167013658514</v>
      </c>
      <c r="E10" s="162">
        <f t="shared" ref="E10:F10" si="1" xml:space="preserve"> K30</f>
        <v>11.381747577175098</v>
      </c>
      <c r="F10" s="162">
        <f t="shared" si="1"/>
        <v>136.58097092610117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12816.661522161619</v>
      </c>
      <c r="E11" s="162">
        <f t="shared" ref="E11:F11" si="2" xml:space="preserve"> K40</f>
        <v>23.911681944331377</v>
      </c>
      <c r="F11" s="162">
        <f t="shared" si="2"/>
        <v>286.94018333197653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0</v>
      </c>
      <c r="E12" s="162">
        <f t="shared" ref="E12:F12" si="3">K48</f>
        <v>0</v>
      </c>
      <c r="F12" s="162">
        <f t="shared" si="3"/>
        <v>0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0</v>
      </c>
      <c r="E13" s="162">
        <f t="shared" ref="E13:F13" si="4">K56</f>
        <v>0</v>
      </c>
      <c r="F13" s="162">
        <f t="shared" si="4"/>
        <v>0</v>
      </c>
      <c r="G13" s="188"/>
      <c r="H13" s="21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>
        <f xml:space="preserve"> 'סיכום עלויות עטרות'!M10</f>
        <v>893.33333333333337</v>
      </c>
      <c r="E14" s="162">
        <f xml:space="preserve"> D14 / $D$6</f>
        <v>1.6666666666666667</v>
      </c>
      <c r="F14" s="162">
        <f xml:space="preserve"> E14 * 12</f>
        <v>20</v>
      </c>
      <c r="G14" s="189" t="s">
        <v>278</v>
      </c>
      <c r="H14" s="218"/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19810.611556860804</v>
      </c>
      <c r="E15" s="162">
        <f>SUM(E9:E14)</f>
        <v>36.960096188173139</v>
      </c>
      <c r="F15" s="162">
        <f>SUM(F9:F14)</f>
        <v>443.52115425807767</v>
      </c>
      <c r="G15" s="188"/>
      <c r="H15" s="21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0</v>
      </c>
      <c r="K16" s="195">
        <f>SUM(K6:K13)</f>
        <v>0</v>
      </c>
      <c r="L16" s="195">
        <f>SUM(L6:L13)</f>
        <v>0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279</v>
      </c>
      <c r="D19" s="161"/>
      <c r="E19" s="186">
        <f xml:space="preserve"> D19 / $D$6</f>
        <v>0</v>
      </c>
      <c r="F19" s="187">
        <f xml:space="preserve"> E19 * 12</f>
        <v>0</v>
      </c>
      <c r="G19" s="188" t="s">
        <v>306</v>
      </c>
      <c r="I19" s="152" t="s">
        <v>251</v>
      </c>
      <c r="J19" s="378">
        <f xml:space="preserve"> 'סיכום עלויות עטרות'!F10 - 'תקציב עטרות'!J33 - 'תקציב עטרות'!J35</f>
        <v>3571.6662083981628</v>
      </c>
      <c r="K19" s="361">
        <f xml:space="preserve"> J19 / $D$6</f>
        <v>6.6635563589517961</v>
      </c>
      <c r="L19" s="361">
        <f xml:space="preserve"> K19 * 12</f>
        <v>79.96267630742156</v>
      </c>
    </row>
    <row r="20" spans="1:12">
      <c r="B20" s="155">
        <v>7</v>
      </c>
      <c r="C20" s="155" t="s">
        <v>280</v>
      </c>
      <c r="D20" s="161"/>
      <c r="E20" s="186">
        <f xml:space="preserve"> D20 / $D$6</f>
        <v>0</v>
      </c>
      <c r="F20" s="187">
        <f xml:space="preserve"> E20 * 12</f>
        <v>0</v>
      </c>
      <c r="G20" s="188" t="s">
        <v>306</v>
      </c>
      <c r="I20" s="175" t="s">
        <v>252</v>
      </c>
      <c r="J20" s="379"/>
      <c r="K20" s="362"/>
      <c r="L20" s="362"/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79"/>
      <c r="K21" s="362"/>
      <c r="L21" s="362"/>
    </row>
    <row r="22" spans="1:12" ht="19.5" thickBot="1">
      <c r="E22" s="151"/>
      <c r="I22" s="152" t="s">
        <v>255</v>
      </c>
      <c r="J22" s="379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0</v>
      </c>
      <c r="E23" s="186">
        <f xml:space="preserve"> D23 / $D$6</f>
        <v>0</v>
      </c>
      <c r="F23" s="187">
        <f xml:space="preserve"> E23 * 12</f>
        <v>0</v>
      </c>
      <c r="G23" s="159"/>
      <c r="I23" s="152" t="s">
        <v>256</v>
      </c>
      <c r="J23" s="379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79"/>
      <c r="K24" s="362"/>
      <c r="L24" s="362"/>
    </row>
    <row r="25" spans="1:12">
      <c r="B25" s="155" t="s">
        <v>234</v>
      </c>
      <c r="C25" s="152"/>
      <c r="D25" s="162">
        <f xml:space="preserve"> D15 + D19 + D20 + D23</f>
        <v>19810.611556860804</v>
      </c>
      <c r="E25" s="164">
        <f xml:space="preserve"> E15 + E19 + E20 + E23</f>
        <v>36.960096188173139</v>
      </c>
      <c r="F25" s="164">
        <f xml:space="preserve"> F15 + F19 + F20 + F23</f>
        <v>443.52115425807767</v>
      </c>
      <c r="G25" s="185"/>
      <c r="I25" s="152" t="s">
        <v>258</v>
      </c>
      <c r="J25" s="379"/>
      <c r="K25" s="362"/>
      <c r="L25" s="362"/>
    </row>
    <row r="26" spans="1:12">
      <c r="B26" s="155" t="s">
        <v>235</v>
      </c>
      <c r="C26" s="160">
        <v>0.17</v>
      </c>
      <c r="D26" s="162">
        <f>D25*0.17</f>
        <v>3367.8039646663369</v>
      </c>
      <c r="E26" s="162">
        <f t="shared" ref="E26:F26" si="5">E25*0.17</f>
        <v>6.2832163519894344</v>
      </c>
      <c r="F26" s="162">
        <f t="shared" si="5"/>
        <v>75.398596223873213</v>
      </c>
      <c r="G26" s="185"/>
      <c r="I26" s="152" t="s">
        <v>259</v>
      </c>
      <c r="J26" s="380"/>
      <c r="K26" s="363"/>
      <c r="L26" s="363"/>
    </row>
    <row r="27" spans="1:12">
      <c r="B27" s="155" t="s">
        <v>236</v>
      </c>
      <c r="C27" s="152"/>
      <c r="D27" s="162">
        <f>D26+D25</f>
        <v>23178.415521527142</v>
      </c>
      <c r="E27" s="162">
        <f t="shared" ref="E27:F27" si="6">E26+E25</f>
        <v>43.243312540162577</v>
      </c>
      <c r="F27" s="162">
        <f t="shared" si="6"/>
        <v>518.91975048195093</v>
      </c>
      <c r="G27" s="185"/>
      <c r="I27" s="176" t="s">
        <v>275</v>
      </c>
      <c r="J27" s="148">
        <f xml:space="preserve"> 'סיכום עלויות עטרות'!H10</f>
        <v>1778.9504929676889</v>
      </c>
      <c r="K27" s="161">
        <f xml:space="preserve"> J27 / $D$6</f>
        <v>3.3189374868800168</v>
      </c>
      <c r="L27" s="162">
        <f xml:space="preserve"> K27 * 12</f>
        <v>39.8272498425602</v>
      </c>
    </row>
    <row r="28" spans="1:12">
      <c r="E28" s="151"/>
      <c r="I28" s="176" t="s">
        <v>304</v>
      </c>
      <c r="J28" s="162">
        <f xml:space="preserve"> 'סיכום עלויות עטרות'!I10</f>
        <v>750</v>
      </c>
      <c r="K28" s="161">
        <f xml:space="preserve"> J28 / $D$6</f>
        <v>1.3992537313432836</v>
      </c>
      <c r="L28" s="162">
        <f xml:space="preserve"> K28 * 12</f>
        <v>16.791044776119403</v>
      </c>
    </row>
    <row r="29" spans="1:12">
      <c r="E29" s="151"/>
      <c r="I29" s="176"/>
      <c r="J29" s="162"/>
      <c r="K29" s="161"/>
      <c r="L29" s="162"/>
    </row>
    <row r="30" spans="1:12">
      <c r="D30" s="148"/>
      <c r="F30" s="148"/>
      <c r="G30" s="148"/>
      <c r="I30" s="178" t="s">
        <v>33</v>
      </c>
      <c r="J30" s="195">
        <f>SUM(J19:J28)</f>
        <v>6100.6167013658514</v>
      </c>
      <c r="K30" s="195">
        <f t="shared" ref="K30:L30" si="7">SUM(K19:K28)</f>
        <v>11.381747577175098</v>
      </c>
      <c r="L30" s="195">
        <f t="shared" si="7"/>
        <v>136.58097092610117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I33" s="152" t="s">
        <v>260</v>
      </c>
      <c r="J33" s="198">
        <f xml:space="preserve"> 'סיכום עלויות עטרות'!F7 + 1000</f>
        <v>8362.4105275210186</v>
      </c>
      <c r="K33" s="161">
        <f xml:space="preserve"> J33 / $D$6</f>
        <v>15.601512178210855</v>
      </c>
      <c r="L33" s="162">
        <f xml:space="preserve"> K33 * 12</f>
        <v>187.21814613853027</v>
      </c>
    </row>
    <row r="34" spans="2:14" ht="19.5" thickBot="1">
      <c r="B34" s="367"/>
      <c r="C34" s="357"/>
      <c r="D34" s="357"/>
      <c r="E34" s="357"/>
      <c r="F34" s="358"/>
      <c r="G34" s="221"/>
      <c r="I34" s="152" t="s">
        <v>261</v>
      </c>
      <c r="J34" s="162"/>
      <c r="K34" s="172"/>
      <c r="L34" s="171"/>
    </row>
    <row r="35" spans="2:14">
      <c r="I35" s="152" t="s">
        <v>262</v>
      </c>
      <c r="J35" s="162">
        <v>400</v>
      </c>
      <c r="K35" s="161">
        <f xml:space="preserve"> J35 / $D$6</f>
        <v>0.74626865671641796</v>
      </c>
      <c r="L35" s="162">
        <f xml:space="preserve"> K35 * 12</f>
        <v>8.9552238805970159</v>
      </c>
    </row>
    <row r="36" spans="2:14">
      <c r="B36" s="151"/>
      <c r="C36" s="151"/>
      <c r="D36" s="151"/>
      <c r="E36" s="151"/>
      <c r="F36" s="151"/>
      <c r="G36" s="151"/>
      <c r="I36" s="180" t="s">
        <v>263</v>
      </c>
      <c r="J36" s="162"/>
      <c r="K36" s="161">
        <f t="shared" ref="K36:K38" si="8" xml:space="preserve"> J36 / $D$6</f>
        <v>0</v>
      </c>
      <c r="L36" s="162">
        <f t="shared" ref="L36:L38" si="9" xml:space="preserve"> K36 * 12</f>
        <v>0</v>
      </c>
      <c r="N36" s="151"/>
    </row>
    <row r="37" spans="2:14">
      <c r="B37" s="151"/>
      <c r="C37" s="151"/>
      <c r="D37" s="282"/>
      <c r="E37" s="283"/>
      <c r="F37" s="284"/>
      <c r="G37" s="284"/>
      <c r="I37" s="152" t="s">
        <v>264</v>
      </c>
      <c r="J37" s="162"/>
      <c r="K37" s="161">
        <f t="shared" si="8"/>
        <v>0</v>
      </c>
      <c r="L37" s="162">
        <f t="shared" si="9"/>
        <v>0</v>
      </c>
      <c r="N37" s="151"/>
    </row>
    <row r="38" spans="2:14">
      <c r="B38" s="151"/>
      <c r="C38" s="151"/>
      <c r="D38" s="185"/>
      <c r="E38" s="151"/>
      <c r="F38" s="185"/>
      <c r="G38" s="185"/>
      <c r="I38" s="152" t="s">
        <v>305</v>
      </c>
      <c r="J38" s="162">
        <f xml:space="preserve"> 'סיכום עלויות עטרות'!G10</f>
        <v>4054.2509946406003</v>
      </c>
      <c r="K38" s="161">
        <f t="shared" si="8"/>
        <v>7.5639011094041049</v>
      </c>
      <c r="L38" s="162">
        <f t="shared" si="9"/>
        <v>90.766813312849251</v>
      </c>
      <c r="N38" s="174"/>
    </row>
    <row r="39" spans="2:14">
      <c r="B39" s="151"/>
      <c r="C39" s="151"/>
      <c r="D39" s="185"/>
      <c r="E39" s="151"/>
      <c r="F39" s="185"/>
      <c r="G39" s="185"/>
      <c r="I39" s="180" t="s">
        <v>276</v>
      </c>
      <c r="J39" s="162"/>
      <c r="K39" s="161">
        <f xml:space="preserve"> J39 / $D$6</f>
        <v>0</v>
      </c>
      <c r="L39" s="162">
        <f xml:space="preserve"> K39 * 12</f>
        <v>0</v>
      </c>
      <c r="N39" s="151"/>
    </row>
    <row r="40" spans="2:14">
      <c r="B40" s="151"/>
      <c r="C40" s="151"/>
      <c r="D40" s="284"/>
      <c r="E40" s="284"/>
      <c r="F40" s="284"/>
      <c r="G40" s="185"/>
      <c r="I40" s="155" t="s">
        <v>33</v>
      </c>
      <c r="J40" s="195">
        <f>SUM(J33:J39)</f>
        <v>12816.661522161619</v>
      </c>
      <c r="K40" s="195">
        <f>SUM(K33:K39)</f>
        <v>23.911681944331377</v>
      </c>
      <c r="L40" s="195">
        <f>SUM(L33:L39)</f>
        <v>286.94018333197653</v>
      </c>
    </row>
    <row r="41" spans="2:14">
      <c r="B41" s="151"/>
      <c r="C41" s="151"/>
      <c r="D41" s="284"/>
      <c r="E41" s="284"/>
      <c r="F41" s="284"/>
      <c r="G41" s="185"/>
      <c r="I41" s="151"/>
      <c r="J41" s="174"/>
      <c r="K41" s="151"/>
      <c r="L41" s="174"/>
    </row>
    <row r="42" spans="2:14">
      <c r="B42" s="151"/>
      <c r="C42" s="151"/>
      <c r="D42" s="284"/>
      <c r="E42" s="284"/>
      <c r="F42" s="284"/>
      <c r="G42" s="185"/>
      <c r="I42" s="167" t="s">
        <v>265</v>
      </c>
      <c r="J42" s="168" t="s">
        <v>238</v>
      </c>
      <c r="K42" s="168" t="s">
        <v>239</v>
      </c>
      <c r="L42" s="168" t="s">
        <v>238</v>
      </c>
    </row>
    <row r="43" spans="2:14">
      <c r="B43" s="151"/>
      <c r="C43" s="151"/>
      <c r="D43" s="284"/>
      <c r="E43" s="284"/>
      <c r="F43" s="284"/>
      <c r="G43" s="185"/>
      <c r="I43" s="152" t="s">
        <v>266</v>
      </c>
      <c r="J43" s="171"/>
      <c r="K43" s="171" t="s">
        <v>274</v>
      </c>
      <c r="L43" s="171" t="s">
        <v>274</v>
      </c>
    </row>
    <row r="44" spans="2:14">
      <c r="B44" s="151"/>
      <c r="C44" s="151"/>
      <c r="D44" s="284"/>
      <c r="E44" s="284"/>
      <c r="F44" s="284"/>
      <c r="G44" s="185"/>
      <c r="I44" s="152" t="s">
        <v>267</v>
      </c>
      <c r="J44" s="171"/>
      <c r="K44" s="171" t="s">
        <v>274</v>
      </c>
      <c r="L44" s="171" t="s">
        <v>274</v>
      </c>
    </row>
    <row r="45" spans="2:14">
      <c r="B45" s="151"/>
      <c r="C45" s="151"/>
      <c r="D45" s="284"/>
      <c r="E45" s="284"/>
      <c r="F45" s="284"/>
      <c r="G45" s="185"/>
      <c r="I45" s="180" t="s">
        <v>268</v>
      </c>
      <c r="J45" s="171"/>
      <c r="K45" s="171" t="s">
        <v>274</v>
      </c>
      <c r="L45" s="171" t="s">
        <v>274</v>
      </c>
    </row>
    <row r="46" spans="2:14">
      <c r="B46" s="151"/>
      <c r="C46" s="151"/>
      <c r="D46" s="284"/>
      <c r="E46" s="284"/>
      <c r="F46" s="284"/>
      <c r="G46" s="185"/>
      <c r="I46" s="152" t="s">
        <v>246</v>
      </c>
      <c r="J46" s="171"/>
      <c r="K46" s="171" t="s">
        <v>274</v>
      </c>
      <c r="L46" s="171" t="s">
        <v>274</v>
      </c>
    </row>
    <row r="47" spans="2:14"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0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/>
      <c r="K51" s="368">
        <f xml:space="preserve"> J51/ $D$6</f>
        <v>0</v>
      </c>
      <c r="L51" s="368">
        <f xml:space="preserve"> K51 * 12</f>
        <v>0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0</v>
      </c>
      <c r="K56" s="194">
        <f>SUM(K51:K55)</f>
        <v>0</v>
      </c>
      <c r="L56" s="194">
        <f>SUM(L51:L55)</f>
        <v>0</v>
      </c>
    </row>
    <row r="57" spans="9:12">
      <c r="I57" s="174"/>
      <c r="J57" s="151"/>
      <c r="K57" s="151"/>
      <c r="L57" s="151"/>
    </row>
  </sheetData>
  <mergeCells count="15">
    <mergeCell ref="K6:K7"/>
    <mergeCell ref="L6:L7"/>
    <mergeCell ref="B15:C15"/>
    <mergeCell ref="D21:F21"/>
    <mergeCell ref="B32:F34"/>
    <mergeCell ref="B1:I1"/>
    <mergeCell ref="B3:C3"/>
    <mergeCell ref="D4:J4"/>
    <mergeCell ref="J6:J7"/>
    <mergeCell ref="J51:J53"/>
    <mergeCell ref="K51:K53"/>
    <mergeCell ref="L51:L53"/>
    <mergeCell ref="J19:J26"/>
    <mergeCell ref="K19:K26"/>
    <mergeCell ref="L19:L26"/>
  </mergeCells>
  <pageMargins left="0.70866141732283505" right="0.70866141732283505" top="0.74803149606299202" bottom="0.74803149606299202" header="0.31496062992126" footer="0.31496062992126"/>
  <pageSetup paperSize="9" scale="47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O48"/>
  <sheetViews>
    <sheetView rightToLeft="1" view="pageBreakPreview" topLeftCell="A16" zoomScaleNormal="100" zoomScaleSheetLayoutView="100" workbookViewId="0">
      <selection activeCell="A37" sqref="A37:XFD43"/>
    </sheetView>
  </sheetViews>
  <sheetFormatPr defaultRowHeight="14.25"/>
  <cols>
    <col min="1" max="1" width="8.125" customWidth="1"/>
    <col min="2" max="2" width="10.375" customWidth="1"/>
    <col min="3" max="3" width="7" bestFit="1" customWidth="1"/>
    <col min="4" max="4" width="10.125" customWidth="1"/>
    <col min="5" max="5" width="14.875" customWidth="1"/>
    <col min="6" max="6" width="13.625" style="2" customWidth="1"/>
    <col min="7" max="7" width="12.5" style="2" customWidth="1"/>
    <col min="8" max="8" width="11.625" style="2" customWidth="1"/>
    <col min="9" max="9" width="12.625" style="2" customWidth="1"/>
    <col min="10" max="10" width="17.125" style="2" hidden="1" customWidth="1"/>
    <col min="11" max="12" width="15.375" style="2" hidden="1" customWidth="1"/>
    <col min="13" max="13" width="15" style="2" customWidth="1"/>
    <col min="14" max="14" width="15.875" style="122" customWidth="1"/>
  </cols>
  <sheetData>
    <row r="1" spans="1:14">
      <c r="K1" s="2">
        <f>1.0528</f>
        <v>1.0528</v>
      </c>
    </row>
    <row r="2" spans="1:14" ht="29.25" customHeight="1" thickBot="1">
      <c r="A2" s="384" t="s">
        <v>378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</row>
    <row r="3" spans="1:14" ht="15" customHeight="1" thickTop="1">
      <c r="A3" s="3"/>
      <c r="B3" s="3" t="s">
        <v>16</v>
      </c>
      <c r="C3" s="200" t="s">
        <v>282</v>
      </c>
      <c r="D3" s="112">
        <f xml:space="preserve"> '[7]מדדים ינואר 20 '!E3</f>
        <v>42.804712369308248</v>
      </c>
      <c r="E3" s="146">
        <f>'[7]מדדים ינואר 19'!F2</f>
        <v>0</v>
      </c>
      <c r="F3" s="201" t="s">
        <v>283</v>
      </c>
      <c r="G3" s="90">
        <v>0.35</v>
      </c>
      <c r="H3" s="202">
        <f xml:space="preserve"> '[7]מדדים ינואר 20 '!H5</f>
        <v>5.9756219402538058E-3</v>
      </c>
      <c r="I3" s="203" t="s">
        <v>284</v>
      </c>
      <c r="J3" s="204">
        <v>0.65</v>
      </c>
      <c r="K3" s="121">
        <f>'[7]מדדים ינואר 19'!C4</f>
        <v>9802</v>
      </c>
      <c r="L3" s="121">
        <f>'[7]מדדים ינואר 19'!E4</f>
        <v>2.7140312270774292E-2</v>
      </c>
      <c r="M3" s="204">
        <v>0.65</v>
      </c>
      <c r="N3" s="121">
        <f xml:space="preserve"> '[7]מדדים ינואר 20 '!H4</f>
        <v>2.8503797218660587E-2</v>
      </c>
    </row>
    <row r="4" spans="1:14" ht="60">
      <c r="A4" s="6"/>
      <c r="B4" s="7" t="s">
        <v>14</v>
      </c>
      <c r="C4" s="7"/>
      <c r="D4" s="7"/>
      <c r="E4" s="7"/>
      <c r="F4" s="8" t="s">
        <v>291</v>
      </c>
      <c r="G4" s="8" t="s">
        <v>292</v>
      </c>
      <c r="H4" s="8" t="s">
        <v>233</v>
      </c>
      <c r="I4" s="8" t="s">
        <v>293</v>
      </c>
      <c r="J4" s="8" t="s">
        <v>294</v>
      </c>
      <c r="K4" s="8" t="s">
        <v>295</v>
      </c>
      <c r="L4" s="8" t="s">
        <v>296</v>
      </c>
      <c r="M4" s="8" t="s">
        <v>297</v>
      </c>
      <c r="N4" s="124" t="s">
        <v>285</v>
      </c>
    </row>
    <row r="5" spans="1:14" ht="28.5">
      <c r="A5" s="6"/>
      <c r="B5" s="10" t="s">
        <v>12</v>
      </c>
      <c r="C5" s="29" t="s">
        <v>27</v>
      </c>
      <c r="D5" s="222" t="s">
        <v>65</v>
      </c>
      <c r="E5" s="29" t="s">
        <v>64</v>
      </c>
      <c r="F5" s="11" t="s">
        <v>13</v>
      </c>
      <c r="G5" s="11" t="s">
        <v>9</v>
      </c>
      <c r="H5" s="11" t="s">
        <v>13</v>
      </c>
      <c r="I5" s="11" t="s">
        <v>9</v>
      </c>
      <c r="J5" s="11" t="s">
        <v>298</v>
      </c>
      <c r="K5" s="11" t="s">
        <v>13</v>
      </c>
      <c r="L5" s="11" t="s">
        <v>13</v>
      </c>
      <c r="M5" s="11" t="s">
        <v>13</v>
      </c>
      <c r="N5" s="125"/>
    </row>
    <row r="6" spans="1:14" ht="14.1" customHeight="1">
      <c r="A6" s="347" t="s">
        <v>299</v>
      </c>
      <c r="B6" s="397">
        <v>536</v>
      </c>
      <c r="C6" s="325">
        <v>1</v>
      </c>
      <c r="D6" s="350">
        <v>172</v>
      </c>
      <c r="E6" s="84" t="s">
        <v>69</v>
      </c>
      <c r="F6" s="85">
        <f xml:space="preserve"> '[7]סיכום עלויות עטרות - 01.19'!F6</f>
        <v>0</v>
      </c>
      <c r="G6" s="85">
        <f xml:space="preserve"> '[7]סיכום עלויות עטרות - 01.19'!G6</f>
        <v>0</v>
      </c>
      <c r="H6" s="85">
        <f xml:space="preserve"> '[7]סיכום עלויות עטרות - 01.19'!H6</f>
        <v>0</v>
      </c>
      <c r="I6" s="85">
        <f xml:space="preserve"> '[7]סיכום עלויות עטרות - 01.19'!I6</f>
        <v>750</v>
      </c>
      <c r="J6" s="85">
        <f xml:space="preserve"> '[7]סיכום עלויות עטרות - 01.19'!J6</f>
        <v>0</v>
      </c>
      <c r="K6" s="85">
        <f xml:space="preserve"> '[7]סיכום עלויות עטרות - 01.19'!K6</f>
        <v>0</v>
      </c>
      <c r="L6" s="85">
        <f xml:space="preserve"> '[7]סיכום עלויות עטרות - 01.19'!L6</f>
        <v>0</v>
      </c>
      <c r="M6" s="85">
        <f xml:space="preserve"> '[7]סיכום עלויות עטרות - 01.19'!M6</f>
        <v>893.33333333333337</v>
      </c>
      <c r="N6" s="261">
        <f>SUM(F6:M6)</f>
        <v>1643.3333333333335</v>
      </c>
    </row>
    <row r="7" spans="1:14">
      <c r="A7" s="348"/>
      <c r="B7" s="398"/>
      <c r="C7" s="326"/>
      <c r="D7" s="351"/>
      <c r="E7" s="84" t="s">
        <v>66</v>
      </c>
      <c r="F7" s="226">
        <f xml:space="preserve"> D6 * D3</f>
        <v>7362.4105275210186</v>
      </c>
      <c r="G7" s="226">
        <f xml:space="preserve"> 4 * 5 * 4.3 * D3</f>
        <v>3681.2052637605093</v>
      </c>
      <c r="H7" s="226">
        <v>0</v>
      </c>
      <c r="I7" s="226"/>
      <c r="J7" s="226"/>
      <c r="K7" s="226">
        <v>0</v>
      </c>
      <c r="L7" s="226"/>
      <c r="M7" s="226"/>
      <c r="N7" s="261">
        <f>SUM(F7:M7)</f>
        <v>11043.615791281529</v>
      </c>
    </row>
    <row r="8" spans="1:14">
      <c r="A8" s="348"/>
      <c r="B8" s="398"/>
      <c r="C8" s="326"/>
      <c r="D8" s="351"/>
      <c r="E8" s="84" t="s">
        <v>67</v>
      </c>
      <c r="F8" s="226">
        <f xml:space="preserve"> '[7]סיכום עלויות עטרות - 01.19'!F8 * (1 + $H$3)</f>
        <v>1686.1619763682661</v>
      </c>
      <c r="G8" s="226">
        <f xml:space="preserve"> '[7]סיכום עלויות עטרות - 01.19'!G8 * (1 + $H$3)</f>
        <v>126.52006399665019</v>
      </c>
      <c r="H8" s="226">
        <f xml:space="preserve"> '[7]סיכום עלויות עטרות - 01.19'!H8 * (1 + $H$3)</f>
        <v>603.33871047432012</v>
      </c>
      <c r="I8" s="226">
        <f xml:space="preserve"> '[7]סיכום עלויות עטרות - 01.19'!I8 * (1 + $H$3)</f>
        <v>0</v>
      </c>
      <c r="J8" s="226">
        <f xml:space="preserve"> '[7]סיכום עלויות עטרות - 01.19'!J8 * (1 + $H$3)</f>
        <v>0</v>
      </c>
      <c r="K8" s="226">
        <f xml:space="preserve"> '[7]סיכום עלויות עטרות - 01.19'!K8 * (1 + $H$3)</f>
        <v>0</v>
      </c>
      <c r="L8" s="226">
        <f xml:space="preserve"> '[7]סיכום עלויות עטרות - 01.19'!L8 * (1 + $H$3)</f>
        <v>0</v>
      </c>
      <c r="M8" s="226">
        <f xml:space="preserve"> '[7]סיכום עלויות עטרות - 01.19'!M8 * (1 + $H$3)</f>
        <v>0</v>
      </c>
      <c r="N8" s="226">
        <f xml:space="preserve"> '[7]סיכום עלויות עטרות - 01.19'!N8 * (1 + $H$3)</f>
        <v>2416.0207508392364</v>
      </c>
    </row>
    <row r="9" spans="1:14">
      <c r="A9" s="348"/>
      <c r="B9" s="398"/>
      <c r="C9" s="326"/>
      <c r="D9" s="351"/>
      <c r="E9" s="84" t="s">
        <v>68</v>
      </c>
      <c r="F9" s="226">
        <f xml:space="preserve"> '[7]סיכום עלויות עטרות - 01.19'!F9 * (1 + $N$3)</f>
        <v>3285.5042320298953</v>
      </c>
      <c r="G9" s="226">
        <f xml:space="preserve"> '[7]סיכום עלויות עטרות - 01.19'!G9 * (1 + $N$3)</f>
        <v>246.52566688344083</v>
      </c>
      <c r="H9" s="226">
        <f xml:space="preserve"> '[7]סיכום עלויות עטרות - 01.19'!H9 * (1 + $N$3)</f>
        <v>1175.6117824933688</v>
      </c>
      <c r="I9" s="226">
        <f xml:space="preserve"> '[7]סיכום עלויות עטרות - 01.19'!I9 * (1 + $N$3)</f>
        <v>0</v>
      </c>
      <c r="J9" s="226">
        <f xml:space="preserve"> '[7]סיכום עלויות עטרות - 01.19'!J9 * (1 + $N$3)</f>
        <v>0</v>
      </c>
      <c r="K9" s="226">
        <f xml:space="preserve"> '[7]סיכום עלויות עטרות - 01.19'!K9 * (1 + $N$3)</f>
        <v>0</v>
      </c>
      <c r="L9" s="226">
        <f xml:space="preserve"> '[7]סיכום עלויות עטרות - 01.19'!L9 * (1 + $N$3)</f>
        <v>0</v>
      </c>
      <c r="M9" s="226">
        <f xml:space="preserve"> '[7]סיכום עלויות עטרות - 01.19'!M9 * (1 + $N$3)</f>
        <v>0</v>
      </c>
      <c r="N9" s="226">
        <f xml:space="preserve"> '[7]סיכום עלויות עטרות - 01.19'!N9 * (1 + $N$3)</f>
        <v>4707.6416814067061</v>
      </c>
    </row>
    <row r="10" spans="1:14">
      <c r="A10" s="349"/>
      <c r="B10" s="399"/>
      <c r="C10" s="327"/>
      <c r="D10" s="352"/>
      <c r="E10" s="84" t="s">
        <v>33</v>
      </c>
      <c r="F10" s="226">
        <f t="shared" ref="F10:M10" si="0">SUM(F6:F9)</f>
        <v>12334.076735919181</v>
      </c>
      <c r="G10" s="226">
        <f t="shared" si="0"/>
        <v>4054.2509946406003</v>
      </c>
      <c r="H10" s="226">
        <f t="shared" si="0"/>
        <v>1778.9504929676889</v>
      </c>
      <c r="I10" s="226">
        <f t="shared" si="0"/>
        <v>750</v>
      </c>
      <c r="J10" s="226">
        <f t="shared" si="0"/>
        <v>0</v>
      </c>
      <c r="K10" s="226">
        <f t="shared" si="0"/>
        <v>0</v>
      </c>
      <c r="L10" s="226">
        <f t="shared" si="0"/>
        <v>0</v>
      </c>
      <c r="M10" s="226">
        <f t="shared" si="0"/>
        <v>893.33333333333337</v>
      </c>
      <c r="N10" s="261">
        <f t="shared" ref="N10:N30" si="1">SUM(F10:M10)</f>
        <v>19810.6115568608</v>
      </c>
    </row>
    <row r="11" spans="1:14">
      <c r="A11" s="402" t="s">
        <v>9</v>
      </c>
      <c r="B11" s="405">
        <v>223</v>
      </c>
      <c r="C11" s="337">
        <v>0.41499999999999998</v>
      </c>
      <c r="D11" s="340">
        <f xml:space="preserve"> C11 * $D$6</f>
        <v>71.38</v>
      </c>
      <c r="E11" s="30" t="s">
        <v>69</v>
      </c>
      <c r="F11" s="231">
        <f xml:space="preserve"> F$6 * $C$11</f>
        <v>0</v>
      </c>
      <c r="G11" s="231"/>
      <c r="H11" s="231">
        <f xml:space="preserve"> H$6 * $C$11</f>
        <v>0</v>
      </c>
      <c r="I11" s="231">
        <v>750</v>
      </c>
      <c r="J11" s="231"/>
      <c r="K11" s="231">
        <f xml:space="preserve"> K$6 * $C$11</f>
        <v>0</v>
      </c>
      <c r="L11" s="231">
        <f xml:space="preserve"> L$6 * $C$11</f>
        <v>0</v>
      </c>
      <c r="M11" s="231">
        <f xml:space="preserve"> M$6 * $C$11</f>
        <v>370.73333333333335</v>
      </c>
      <c r="N11" s="262">
        <f t="shared" si="1"/>
        <v>1120.7333333333333</v>
      </c>
    </row>
    <row r="12" spans="1:14">
      <c r="A12" s="403"/>
      <c r="B12" s="406"/>
      <c r="C12" s="338"/>
      <c r="D12" s="341"/>
      <c r="E12" s="30" t="s">
        <v>66</v>
      </c>
      <c r="F12" s="231">
        <f xml:space="preserve"> F$7 * $C$11</f>
        <v>3055.4003689212227</v>
      </c>
      <c r="G12" s="231">
        <f xml:space="preserve"> G7</f>
        <v>3681.2052637605093</v>
      </c>
      <c r="H12" s="231">
        <f xml:space="preserve"> H$7 * $C$11</f>
        <v>0</v>
      </c>
      <c r="I12" s="231">
        <f xml:space="preserve"> I$7 * $C$11</f>
        <v>0</v>
      </c>
      <c r="J12" s="231"/>
      <c r="K12" s="231">
        <f xml:space="preserve"> K$7 * $C$11</f>
        <v>0</v>
      </c>
      <c r="L12" s="231">
        <f xml:space="preserve"> L$7 * $C$11</f>
        <v>0</v>
      </c>
      <c r="M12" s="231">
        <f xml:space="preserve"> M$7 * $C$11</f>
        <v>0</v>
      </c>
      <c r="N12" s="262">
        <f t="shared" si="1"/>
        <v>6736.6056326817325</v>
      </c>
    </row>
    <row r="13" spans="1:14">
      <c r="A13" s="403"/>
      <c r="B13" s="406"/>
      <c r="C13" s="338"/>
      <c r="D13" s="341"/>
      <c r="E13" s="30" t="s">
        <v>67</v>
      </c>
      <c r="F13" s="231">
        <f xml:space="preserve"> F$8 * $C$11</f>
        <v>699.75722019283035</v>
      </c>
      <c r="G13" s="231">
        <f xml:space="preserve"> G8</f>
        <v>126.52006399665019</v>
      </c>
      <c r="H13" s="231">
        <f xml:space="preserve"> H$8 * $C$11</f>
        <v>250.38556484684284</v>
      </c>
      <c r="I13" s="231">
        <f xml:space="preserve"> I$8 * $C$11</f>
        <v>0</v>
      </c>
      <c r="J13" s="231"/>
      <c r="K13" s="231">
        <f xml:space="preserve"> K$8 * $C$11</f>
        <v>0</v>
      </c>
      <c r="L13" s="231">
        <f xml:space="preserve"> L$8 * $C$11</f>
        <v>0</v>
      </c>
      <c r="M13" s="231">
        <f xml:space="preserve"> M$8 * $C$11</f>
        <v>0</v>
      </c>
      <c r="N13" s="262">
        <f t="shared" si="1"/>
        <v>1076.6628490363232</v>
      </c>
    </row>
    <row r="14" spans="1:14">
      <c r="A14" s="403"/>
      <c r="B14" s="406"/>
      <c r="C14" s="338"/>
      <c r="D14" s="341"/>
      <c r="E14" s="30" t="s">
        <v>68</v>
      </c>
      <c r="F14" s="231">
        <f xml:space="preserve"> F$9 * $C$11</f>
        <v>1363.4842562924066</v>
      </c>
      <c r="G14" s="231">
        <f xml:space="preserve"> G9</f>
        <v>246.52566688344083</v>
      </c>
      <c r="H14" s="231">
        <f xml:space="preserve"> H$9 * $C$11</f>
        <v>487.87888973474799</v>
      </c>
      <c r="I14" s="231">
        <f xml:space="preserve"> I$9 * $C$11</f>
        <v>0</v>
      </c>
      <c r="J14" s="231"/>
      <c r="K14" s="231">
        <f xml:space="preserve"> K$9 * $C$11</f>
        <v>0</v>
      </c>
      <c r="L14" s="231">
        <f xml:space="preserve"> L$9 * $C$11</f>
        <v>0</v>
      </c>
      <c r="M14" s="231">
        <f xml:space="preserve"> M$9 * $C$11</f>
        <v>0</v>
      </c>
      <c r="N14" s="262">
        <f t="shared" si="1"/>
        <v>2097.8888129105953</v>
      </c>
    </row>
    <row r="15" spans="1:14">
      <c r="A15" s="404"/>
      <c r="B15" s="407"/>
      <c r="C15" s="339"/>
      <c r="D15" s="342"/>
      <c r="E15" s="129" t="s">
        <v>33</v>
      </c>
      <c r="F15" s="235">
        <f t="shared" ref="F15:M15" si="2">SUM(F11:F14)</f>
        <v>5118.6418454064597</v>
      </c>
      <c r="G15" s="235">
        <f t="shared" si="2"/>
        <v>4054.2509946406003</v>
      </c>
      <c r="H15" s="235">
        <f t="shared" si="2"/>
        <v>738.26445458159083</v>
      </c>
      <c r="I15" s="235">
        <f t="shared" si="2"/>
        <v>750</v>
      </c>
      <c r="J15" s="235">
        <f t="shared" si="2"/>
        <v>0</v>
      </c>
      <c r="K15" s="235">
        <f t="shared" si="2"/>
        <v>0</v>
      </c>
      <c r="L15" s="235">
        <f t="shared" si="2"/>
        <v>0</v>
      </c>
      <c r="M15" s="235">
        <f t="shared" si="2"/>
        <v>370.73333333333335</v>
      </c>
      <c r="N15" s="263">
        <f t="shared" si="1"/>
        <v>11031.890627961984</v>
      </c>
    </row>
    <row r="16" spans="1:14" ht="14.1" customHeight="1">
      <c r="A16" s="402" t="s">
        <v>300</v>
      </c>
      <c r="B16" s="405">
        <v>76</v>
      </c>
      <c r="C16" s="337">
        <v>0.14199999999999999</v>
      </c>
      <c r="D16" s="340">
        <f xml:space="preserve"> C16 * $D$6</f>
        <v>24.423999999999999</v>
      </c>
      <c r="E16" s="30" t="s">
        <v>69</v>
      </c>
      <c r="F16" s="231">
        <f xml:space="preserve"> F$6 * $C$16</f>
        <v>0</v>
      </c>
      <c r="G16" s="231"/>
      <c r="H16" s="231">
        <f xml:space="preserve"> H$6 * $C$16</f>
        <v>0</v>
      </c>
      <c r="I16" s="231"/>
      <c r="J16" s="231"/>
      <c r="K16" s="231">
        <f xml:space="preserve"> K$6 * $C$16</f>
        <v>0</v>
      </c>
      <c r="L16" s="231">
        <f xml:space="preserve"> L$6 * $C$16</f>
        <v>0</v>
      </c>
      <c r="M16" s="231">
        <f xml:space="preserve"> M$6 * $C$16</f>
        <v>126.85333333333332</v>
      </c>
      <c r="N16" s="262">
        <f t="shared" si="1"/>
        <v>126.85333333333332</v>
      </c>
    </row>
    <row r="17" spans="1:14">
      <c r="A17" s="403"/>
      <c r="B17" s="406"/>
      <c r="C17" s="338"/>
      <c r="D17" s="341"/>
      <c r="E17" s="30" t="s">
        <v>66</v>
      </c>
      <c r="F17" s="231">
        <f xml:space="preserve"> F$7 * $C$16</f>
        <v>1045.4622949079846</v>
      </c>
      <c r="G17" s="231"/>
      <c r="H17" s="231">
        <f xml:space="preserve"> H$7 * $C$16</f>
        <v>0</v>
      </c>
      <c r="I17" s="231">
        <f xml:space="preserve"> I$7 * $C$16</f>
        <v>0</v>
      </c>
      <c r="J17" s="231"/>
      <c r="K17" s="231">
        <f xml:space="preserve"> K$7 * $C$16</f>
        <v>0</v>
      </c>
      <c r="L17" s="231">
        <f xml:space="preserve"> L$7 * $C$16</f>
        <v>0</v>
      </c>
      <c r="M17" s="231">
        <f xml:space="preserve"> M$7 * $C$16</f>
        <v>0</v>
      </c>
      <c r="N17" s="262">
        <f t="shared" si="1"/>
        <v>1045.4622949079846</v>
      </c>
    </row>
    <row r="18" spans="1:14">
      <c r="A18" s="403"/>
      <c r="B18" s="406"/>
      <c r="C18" s="338"/>
      <c r="D18" s="341"/>
      <c r="E18" s="30" t="s">
        <v>67</v>
      </c>
      <c r="F18" s="231">
        <f xml:space="preserve"> F$8 * $C$16</f>
        <v>239.43500064429375</v>
      </c>
      <c r="G18" s="231"/>
      <c r="H18" s="231">
        <f xml:space="preserve"> H$8 * $C$16</f>
        <v>85.674096887353457</v>
      </c>
      <c r="I18" s="231">
        <f xml:space="preserve"> I$8 * $C$16</f>
        <v>0</v>
      </c>
      <c r="J18" s="231"/>
      <c r="K18" s="231">
        <f xml:space="preserve"> K$8 * $C$16</f>
        <v>0</v>
      </c>
      <c r="L18" s="231">
        <f xml:space="preserve"> L$8 * $C$16</f>
        <v>0</v>
      </c>
      <c r="M18" s="231">
        <f xml:space="preserve"> M$8 * $C$16</f>
        <v>0</v>
      </c>
      <c r="N18" s="262">
        <f t="shared" si="1"/>
        <v>325.10909753164719</v>
      </c>
    </row>
    <row r="19" spans="1:14">
      <c r="A19" s="403"/>
      <c r="B19" s="406"/>
      <c r="C19" s="338"/>
      <c r="D19" s="341"/>
      <c r="E19" s="30" t="s">
        <v>68</v>
      </c>
      <c r="F19" s="231">
        <f xml:space="preserve"> F$9 * C16</f>
        <v>466.5416009482451</v>
      </c>
      <c r="G19" s="231"/>
      <c r="H19" s="231">
        <f xml:space="preserve"> H$9 * $C$16</f>
        <v>166.93687311405836</v>
      </c>
      <c r="I19" s="231">
        <f xml:space="preserve"> I$9 * $C$16</f>
        <v>0</v>
      </c>
      <c r="J19" s="231"/>
      <c r="K19" s="231">
        <f xml:space="preserve"> K$9 * $C$16</f>
        <v>0</v>
      </c>
      <c r="L19" s="231">
        <f xml:space="preserve"> L$9 * $C$16</f>
        <v>0</v>
      </c>
      <c r="M19" s="231">
        <f xml:space="preserve"> M$9 * $C$16</f>
        <v>0</v>
      </c>
      <c r="N19" s="262">
        <f t="shared" si="1"/>
        <v>633.47847406230346</v>
      </c>
    </row>
    <row r="20" spans="1:14">
      <c r="A20" s="404"/>
      <c r="B20" s="407"/>
      <c r="C20" s="339"/>
      <c r="D20" s="342"/>
      <c r="E20" s="129" t="s">
        <v>33</v>
      </c>
      <c r="F20" s="235">
        <f t="shared" ref="F20:L20" si="3">SUM(F16:F19)</f>
        <v>1751.4388965005235</v>
      </c>
      <c r="G20" s="235">
        <f t="shared" si="3"/>
        <v>0</v>
      </c>
      <c r="H20" s="235">
        <f t="shared" si="3"/>
        <v>252.61097000141183</v>
      </c>
      <c r="I20" s="235">
        <f t="shared" si="3"/>
        <v>0</v>
      </c>
      <c r="J20" s="235">
        <f t="shared" si="3"/>
        <v>0</v>
      </c>
      <c r="K20" s="235">
        <f t="shared" si="3"/>
        <v>0</v>
      </c>
      <c r="L20" s="235">
        <f t="shared" si="3"/>
        <v>0</v>
      </c>
      <c r="M20" s="235"/>
      <c r="N20" s="263">
        <f t="shared" si="1"/>
        <v>2004.0498665019354</v>
      </c>
    </row>
    <row r="21" spans="1:14" ht="14.1" customHeight="1">
      <c r="A21" s="402" t="s">
        <v>301</v>
      </c>
      <c r="B21" s="405">
        <v>58</v>
      </c>
      <c r="C21" s="337">
        <v>0.108</v>
      </c>
      <c r="D21" s="340">
        <f xml:space="preserve"> C21 * $D$6</f>
        <v>18.576000000000001</v>
      </c>
      <c r="E21" s="30" t="s">
        <v>69</v>
      </c>
      <c r="F21" s="231">
        <f xml:space="preserve"> F$6 *$C$21</f>
        <v>0</v>
      </c>
      <c r="G21" s="231"/>
      <c r="H21" s="231">
        <f xml:space="preserve"> H$6 *$C$21</f>
        <v>0</v>
      </c>
      <c r="I21" s="231"/>
      <c r="J21" s="231"/>
      <c r="K21" s="231">
        <f xml:space="preserve"> K$6 *$C$21</f>
        <v>0</v>
      </c>
      <c r="L21" s="231">
        <f xml:space="preserve"> L$6 *$C$21</f>
        <v>0</v>
      </c>
      <c r="M21" s="231">
        <f xml:space="preserve"> M$6 *$C$21</f>
        <v>96.48</v>
      </c>
      <c r="N21" s="262">
        <f t="shared" si="1"/>
        <v>96.48</v>
      </c>
    </row>
    <row r="22" spans="1:14">
      <c r="A22" s="403"/>
      <c r="B22" s="406"/>
      <c r="C22" s="338"/>
      <c r="D22" s="341"/>
      <c r="E22" s="30" t="s">
        <v>66</v>
      </c>
      <c r="F22" s="231">
        <f xml:space="preserve"> F$7 * $C$21</f>
        <v>795.14033697227001</v>
      </c>
      <c r="G22" s="231"/>
      <c r="H22" s="231">
        <f xml:space="preserve"> H$7 * $C$21</f>
        <v>0</v>
      </c>
      <c r="I22" s="231">
        <f xml:space="preserve"> I$7 * $C$21</f>
        <v>0</v>
      </c>
      <c r="J22" s="231"/>
      <c r="K22" s="231">
        <f xml:space="preserve"> K$7 * $C$21</f>
        <v>0</v>
      </c>
      <c r="L22" s="231">
        <f xml:space="preserve"> L$7 * $C$21</f>
        <v>0</v>
      </c>
      <c r="M22" s="231">
        <f xml:space="preserve"> M$7 * $C$21</f>
        <v>0</v>
      </c>
      <c r="N22" s="262">
        <f t="shared" si="1"/>
        <v>795.14033697227001</v>
      </c>
    </row>
    <row r="23" spans="1:14">
      <c r="A23" s="403"/>
      <c r="B23" s="406"/>
      <c r="C23" s="338"/>
      <c r="D23" s="341"/>
      <c r="E23" s="30" t="s">
        <v>67</v>
      </c>
      <c r="F23" s="231">
        <f xml:space="preserve"> F$8 * $C$21</f>
        <v>182.10549344777274</v>
      </c>
      <c r="G23" s="231"/>
      <c r="H23" s="231">
        <f xml:space="preserve"> H$8 * $C$21</f>
        <v>65.160580731226574</v>
      </c>
      <c r="I23" s="231">
        <f xml:space="preserve"> I$8 * $C$21</f>
        <v>0</v>
      </c>
      <c r="J23" s="231"/>
      <c r="K23" s="231">
        <f xml:space="preserve"> K$8 * $C$21</f>
        <v>0</v>
      </c>
      <c r="L23" s="231">
        <f xml:space="preserve"> L$8 * $C$21</f>
        <v>0</v>
      </c>
      <c r="M23" s="231">
        <f xml:space="preserve"> M$8 * $C$21</f>
        <v>0</v>
      </c>
      <c r="N23" s="262">
        <f t="shared" si="1"/>
        <v>247.2660741789993</v>
      </c>
    </row>
    <row r="24" spans="1:14">
      <c r="A24" s="403"/>
      <c r="B24" s="406"/>
      <c r="C24" s="338"/>
      <c r="D24" s="341"/>
      <c r="E24" s="30" t="s">
        <v>68</v>
      </c>
      <c r="F24" s="231">
        <f xml:space="preserve"> F$9 * $C$21</f>
        <v>354.83445705922867</v>
      </c>
      <c r="G24" s="231"/>
      <c r="H24" s="231">
        <f xml:space="preserve"> H$9 * $C$21</f>
        <v>126.96607250928382</v>
      </c>
      <c r="I24" s="231">
        <f xml:space="preserve"> I$9 * $C$21</f>
        <v>0</v>
      </c>
      <c r="J24" s="231"/>
      <c r="K24" s="231">
        <f xml:space="preserve"> K$9 * $C$21</f>
        <v>0</v>
      </c>
      <c r="L24" s="231">
        <f xml:space="preserve"> L$9 * $C$21</f>
        <v>0</v>
      </c>
      <c r="M24" s="231">
        <f xml:space="preserve"> M$9 * $C$21</f>
        <v>0</v>
      </c>
      <c r="N24" s="262">
        <f t="shared" si="1"/>
        <v>481.8005295685125</v>
      </c>
    </row>
    <row r="25" spans="1:14">
      <c r="A25" s="404"/>
      <c r="B25" s="407"/>
      <c r="C25" s="339"/>
      <c r="D25" s="342"/>
      <c r="E25" s="129" t="s">
        <v>33</v>
      </c>
      <c r="F25" s="235">
        <f t="shared" ref="F25:L25" si="4">SUM(F21:F24)</f>
        <v>1332.0802874792714</v>
      </c>
      <c r="G25" s="235">
        <f t="shared" si="4"/>
        <v>0</v>
      </c>
      <c r="H25" s="235">
        <f t="shared" si="4"/>
        <v>192.12665324051039</v>
      </c>
      <c r="I25" s="235">
        <f t="shared" si="4"/>
        <v>0</v>
      </c>
      <c r="J25" s="235">
        <f t="shared" si="4"/>
        <v>0</v>
      </c>
      <c r="K25" s="235">
        <f t="shared" si="4"/>
        <v>0</v>
      </c>
      <c r="L25" s="235">
        <f t="shared" si="4"/>
        <v>0</v>
      </c>
      <c r="M25" s="235"/>
      <c r="N25" s="263">
        <f t="shared" si="1"/>
        <v>1524.2069407197819</v>
      </c>
    </row>
    <row r="26" spans="1:14" ht="14.1" customHeight="1">
      <c r="A26" s="402" t="s">
        <v>302</v>
      </c>
      <c r="B26" s="405">
        <v>179</v>
      </c>
      <c r="C26" s="337">
        <v>0.33500000000000002</v>
      </c>
      <c r="D26" s="340">
        <f xml:space="preserve"> C26 * $D$6</f>
        <v>57.620000000000005</v>
      </c>
      <c r="E26" s="30" t="s">
        <v>69</v>
      </c>
      <c r="F26" s="231">
        <f xml:space="preserve"> F$6 * $C$26</f>
        <v>0</v>
      </c>
      <c r="G26" s="231"/>
      <c r="H26" s="231">
        <f xml:space="preserve"> H$6 * $C$26</f>
        <v>0</v>
      </c>
      <c r="I26" s="231"/>
      <c r="J26" s="231"/>
      <c r="K26" s="231">
        <f xml:space="preserve"> K$6 * $C$26</f>
        <v>0</v>
      </c>
      <c r="L26" s="231">
        <f xml:space="preserve"> L$6 * $C$26</f>
        <v>0</v>
      </c>
      <c r="M26" s="231">
        <f xml:space="preserve"> M$6 * $C$26</f>
        <v>299.26666666666671</v>
      </c>
      <c r="N26" s="262">
        <f t="shared" si="1"/>
        <v>299.26666666666671</v>
      </c>
    </row>
    <row r="27" spans="1:14">
      <c r="A27" s="403"/>
      <c r="B27" s="406"/>
      <c r="C27" s="338"/>
      <c r="D27" s="341"/>
      <c r="E27" s="30" t="s">
        <v>66</v>
      </c>
      <c r="F27" s="231">
        <f xml:space="preserve"> F$7 * $C$26</f>
        <v>2466.4075267195412</v>
      </c>
      <c r="G27" s="231"/>
      <c r="H27" s="231">
        <f xml:space="preserve"> H$7 * $C$26</f>
        <v>0</v>
      </c>
      <c r="I27" s="231">
        <f xml:space="preserve"> I$7 * $C$26</f>
        <v>0</v>
      </c>
      <c r="J27" s="231"/>
      <c r="K27" s="231">
        <f xml:space="preserve"> K$7 * $C$26</f>
        <v>0</v>
      </c>
      <c r="L27" s="231">
        <f xml:space="preserve"> L$7 * $C$26</f>
        <v>0</v>
      </c>
      <c r="M27" s="231">
        <f xml:space="preserve"> M$7 * $C$26</f>
        <v>0</v>
      </c>
      <c r="N27" s="262">
        <f t="shared" si="1"/>
        <v>2466.4075267195412</v>
      </c>
    </row>
    <row r="28" spans="1:14">
      <c r="A28" s="403"/>
      <c r="B28" s="406"/>
      <c r="C28" s="338"/>
      <c r="D28" s="341"/>
      <c r="E28" s="30" t="s">
        <v>67</v>
      </c>
      <c r="F28" s="231">
        <f xml:space="preserve"> F$8 * $C$26</f>
        <v>564.86426208336923</v>
      </c>
      <c r="G28" s="231"/>
      <c r="H28" s="231">
        <f xml:space="preserve"> H$8 * $C$26</f>
        <v>202.11846800889725</v>
      </c>
      <c r="I28" s="231">
        <f xml:space="preserve"> I$8 * $C$26</f>
        <v>0</v>
      </c>
      <c r="J28" s="231"/>
      <c r="K28" s="231">
        <f xml:space="preserve"> K$8 * $C$26</f>
        <v>0</v>
      </c>
      <c r="L28" s="231">
        <f xml:space="preserve"> L$8 * $C$26</f>
        <v>0</v>
      </c>
      <c r="M28" s="231">
        <f xml:space="preserve"> M$8 * $C$26</f>
        <v>0</v>
      </c>
      <c r="N28" s="262">
        <f t="shared" si="1"/>
        <v>766.98273009226648</v>
      </c>
    </row>
    <row r="29" spans="1:14">
      <c r="A29" s="403"/>
      <c r="B29" s="406"/>
      <c r="C29" s="338"/>
      <c r="D29" s="341"/>
      <c r="E29" s="30" t="s">
        <v>68</v>
      </c>
      <c r="F29" s="231">
        <f xml:space="preserve"> F$9 * $C$26</f>
        <v>1100.6439177300149</v>
      </c>
      <c r="G29" s="231"/>
      <c r="H29" s="231">
        <f xml:space="preserve"> H$9 * $C$26</f>
        <v>393.82994713527859</v>
      </c>
      <c r="I29" s="231">
        <f xml:space="preserve"> I$9 * $C$26</f>
        <v>0</v>
      </c>
      <c r="J29" s="231"/>
      <c r="K29" s="231">
        <f xml:space="preserve"> K$9 * $C$26</f>
        <v>0</v>
      </c>
      <c r="L29" s="231">
        <f xml:space="preserve"> L$9 * $C$26</f>
        <v>0</v>
      </c>
      <c r="M29" s="231">
        <f xml:space="preserve"> M$9 * $C$26</f>
        <v>0</v>
      </c>
      <c r="N29" s="262">
        <f t="shared" si="1"/>
        <v>1494.4738648652935</v>
      </c>
    </row>
    <row r="30" spans="1:14">
      <c r="A30" s="404"/>
      <c r="B30" s="407"/>
      <c r="C30" s="339"/>
      <c r="D30" s="342"/>
      <c r="E30" s="129" t="s">
        <v>33</v>
      </c>
      <c r="F30" s="235">
        <f t="shared" ref="F30:L30" si="5">SUM(F26:F29)</f>
        <v>4131.9157065329255</v>
      </c>
      <c r="G30" s="235">
        <f t="shared" si="5"/>
        <v>0</v>
      </c>
      <c r="H30" s="235">
        <f t="shared" si="5"/>
        <v>595.9484151441759</v>
      </c>
      <c r="I30" s="235">
        <f t="shared" si="5"/>
        <v>0</v>
      </c>
      <c r="J30" s="235">
        <f t="shared" si="5"/>
        <v>0</v>
      </c>
      <c r="K30" s="235">
        <f t="shared" si="5"/>
        <v>0</v>
      </c>
      <c r="L30" s="235">
        <f t="shared" si="5"/>
        <v>0</v>
      </c>
      <c r="M30" s="235"/>
      <c r="N30" s="263">
        <f t="shared" si="1"/>
        <v>4727.8641216771011</v>
      </c>
    </row>
    <row r="31" spans="1:14" ht="14.1" customHeight="1">
      <c r="A31" s="347" t="s">
        <v>303</v>
      </c>
      <c r="B31" s="397">
        <f>SUM(B11:B30)</f>
        <v>536</v>
      </c>
      <c r="C31" s="325">
        <f>SUM(C11:C30)</f>
        <v>1</v>
      </c>
      <c r="D31" s="328">
        <f>SUM(D11:D30)</f>
        <v>172</v>
      </c>
      <c r="E31" s="84" t="s">
        <v>69</v>
      </c>
      <c r="F31" s="226">
        <f t="shared" ref="F31:N34" si="6" xml:space="preserve"> F11 + F16 + F21 + F26</f>
        <v>0</v>
      </c>
      <c r="G31" s="226">
        <f t="shared" si="6"/>
        <v>0</v>
      </c>
      <c r="H31" s="226">
        <f t="shared" si="6"/>
        <v>0</v>
      </c>
      <c r="I31" s="226">
        <f t="shared" si="6"/>
        <v>750</v>
      </c>
      <c r="J31" s="226">
        <f t="shared" si="6"/>
        <v>0</v>
      </c>
      <c r="K31" s="226">
        <f t="shared" si="6"/>
        <v>0</v>
      </c>
      <c r="L31" s="226">
        <f t="shared" si="6"/>
        <v>0</v>
      </c>
      <c r="M31" s="226">
        <f t="shared" si="6"/>
        <v>893.33333333333348</v>
      </c>
      <c r="N31" s="226">
        <f t="shared" si="6"/>
        <v>1643.3333333333333</v>
      </c>
    </row>
    <row r="32" spans="1:14">
      <c r="A32" s="348"/>
      <c r="B32" s="398"/>
      <c r="C32" s="326"/>
      <c r="D32" s="329"/>
      <c r="E32" s="84" t="s">
        <v>66</v>
      </c>
      <c r="F32" s="226">
        <f t="shared" si="6"/>
        <v>7362.4105275210186</v>
      </c>
      <c r="G32" s="226">
        <f t="shared" si="6"/>
        <v>3681.2052637605093</v>
      </c>
      <c r="H32" s="226">
        <f t="shared" si="6"/>
        <v>0</v>
      </c>
      <c r="I32" s="226">
        <f t="shared" si="6"/>
        <v>0</v>
      </c>
      <c r="J32" s="226">
        <f t="shared" si="6"/>
        <v>0</v>
      </c>
      <c r="K32" s="226">
        <f t="shared" si="6"/>
        <v>0</v>
      </c>
      <c r="L32" s="226">
        <f t="shared" si="6"/>
        <v>0</v>
      </c>
      <c r="M32" s="226">
        <f t="shared" si="6"/>
        <v>0</v>
      </c>
      <c r="N32" s="226">
        <f t="shared" si="6"/>
        <v>11043.615791281529</v>
      </c>
    </row>
    <row r="33" spans="1:15">
      <c r="A33" s="348"/>
      <c r="B33" s="398"/>
      <c r="C33" s="326"/>
      <c r="D33" s="329"/>
      <c r="E33" s="84" t="s">
        <v>67</v>
      </c>
      <c r="F33" s="226">
        <f t="shared" si="6"/>
        <v>1686.1619763682661</v>
      </c>
      <c r="G33" s="226">
        <f t="shared" si="6"/>
        <v>126.52006399665019</v>
      </c>
      <c r="H33" s="226">
        <f t="shared" si="6"/>
        <v>603.33871047432012</v>
      </c>
      <c r="I33" s="226">
        <f t="shared" si="6"/>
        <v>0</v>
      </c>
      <c r="J33" s="226">
        <f t="shared" si="6"/>
        <v>0</v>
      </c>
      <c r="K33" s="226">
        <f t="shared" si="6"/>
        <v>0</v>
      </c>
      <c r="L33" s="226">
        <f t="shared" si="6"/>
        <v>0</v>
      </c>
      <c r="M33" s="226">
        <f t="shared" si="6"/>
        <v>0</v>
      </c>
      <c r="N33" s="226">
        <f t="shared" si="6"/>
        <v>2416.0207508392364</v>
      </c>
    </row>
    <row r="34" spans="1:15">
      <c r="A34" s="348"/>
      <c r="B34" s="398"/>
      <c r="C34" s="326"/>
      <c r="D34" s="329"/>
      <c r="E34" s="84" t="s">
        <v>68</v>
      </c>
      <c r="F34" s="226">
        <f t="shared" si="6"/>
        <v>3285.5042320298953</v>
      </c>
      <c r="G34" s="226">
        <f t="shared" si="6"/>
        <v>246.52566688344083</v>
      </c>
      <c r="H34" s="226">
        <f t="shared" si="6"/>
        <v>1175.6117824933688</v>
      </c>
      <c r="I34" s="226">
        <f t="shared" si="6"/>
        <v>0</v>
      </c>
      <c r="J34" s="226">
        <f t="shared" si="6"/>
        <v>0</v>
      </c>
      <c r="K34" s="226">
        <f t="shared" si="6"/>
        <v>0</v>
      </c>
      <c r="L34" s="226">
        <f t="shared" si="6"/>
        <v>0</v>
      </c>
      <c r="M34" s="226">
        <f t="shared" si="6"/>
        <v>0</v>
      </c>
      <c r="N34" s="226">
        <f t="shared" si="6"/>
        <v>4707.6416814067052</v>
      </c>
    </row>
    <row r="35" spans="1:15">
      <c r="A35" s="349"/>
      <c r="B35" s="399"/>
      <c r="C35" s="327"/>
      <c r="D35" s="330"/>
      <c r="E35" s="84" t="s">
        <v>33</v>
      </c>
      <c r="F35" s="226">
        <f t="shared" ref="F35:N35" si="7">SUM(F31:F34)</f>
        <v>12334.076735919181</v>
      </c>
      <c r="G35" s="226">
        <f t="shared" si="7"/>
        <v>4054.2509946406003</v>
      </c>
      <c r="H35" s="226">
        <f t="shared" si="7"/>
        <v>1778.9504929676889</v>
      </c>
      <c r="I35" s="226">
        <f t="shared" si="7"/>
        <v>750</v>
      </c>
      <c r="J35" s="226">
        <f t="shared" si="7"/>
        <v>0</v>
      </c>
      <c r="K35" s="226">
        <f t="shared" si="7"/>
        <v>0</v>
      </c>
      <c r="L35" s="226">
        <f t="shared" si="7"/>
        <v>0</v>
      </c>
      <c r="M35" s="226">
        <f t="shared" si="7"/>
        <v>893.33333333333348</v>
      </c>
      <c r="N35" s="261">
        <f t="shared" si="7"/>
        <v>19810.611556860804</v>
      </c>
    </row>
    <row r="36" spans="1:15" s="2" customFormat="1">
      <c r="A36" s="277"/>
      <c r="B36" s="277"/>
      <c r="F36" s="31"/>
      <c r="N36" s="122"/>
      <c r="O36"/>
    </row>
    <row r="37" spans="1:15" s="2" customFormat="1">
      <c r="A37"/>
      <c r="B37"/>
      <c r="C37"/>
      <c r="D37"/>
      <c r="E37"/>
      <c r="H37" s="27"/>
      <c r="I37" s="26"/>
      <c r="J37" s="26"/>
      <c r="K37" s="26"/>
      <c r="L37" s="28"/>
      <c r="M37" s="28"/>
      <c r="N37" s="122"/>
      <c r="O37"/>
    </row>
    <row r="38" spans="1:15" s="2" customFormat="1">
      <c r="A38"/>
      <c r="B38"/>
      <c r="C38"/>
      <c r="D38"/>
      <c r="E38"/>
      <c r="H38" s="26"/>
      <c r="I38" s="26"/>
      <c r="J38" s="26"/>
      <c r="K38" s="26"/>
      <c r="L38" s="27"/>
      <c r="M38" s="27"/>
      <c r="N38" s="122"/>
      <c r="O38"/>
    </row>
    <row r="39" spans="1:15" s="2" customFormat="1">
      <c r="A39"/>
      <c r="B39"/>
      <c r="C39"/>
      <c r="D39"/>
      <c r="E39"/>
      <c r="H39" s="26"/>
      <c r="I39" s="26"/>
      <c r="J39" s="26"/>
      <c r="K39" s="26"/>
      <c r="L39" s="27"/>
      <c r="M39" s="27"/>
      <c r="N39" s="122"/>
      <c r="O39"/>
    </row>
    <row r="40" spans="1:15" s="2" customFormat="1">
      <c r="A40"/>
      <c r="B40"/>
      <c r="C40"/>
      <c r="D40"/>
      <c r="E40"/>
      <c r="H40" s="26"/>
      <c r="I40" s="26"/>
      <c r="J40" s="26"/>
      <c r="K40" s="26"/>
      <c r="L40" s="27"/>
      <c r="M40" s="27"/>
      <c r="N40" s="122"/>
      <c r="O40"/>
    </row>
    <row r="41" spans="1:15" s="2" customFormat="1">
      <c r="A41"/>
      <c r="B41"/>
      <c r="C41"/>
      <c r="D41"/>
      <c r="E41"/>
      <c r="H41" s="26"/>
      <c r="I41" s="26"/>
      <c r="J41" s="26"/>
      <c r="K41" s="26"/>
      <c r="L41" s="27"/>
      <c r="M41" s="27"/>
      <c r="N41" s="122"/>
      <c r="O41"/>
    </row>
    <row r="42" spans="1:15" s="2" customFormat="1">
      <c r="A42"/>
      <c r="B42"/>
      <c r="C42"/>
      <c r="D42"/>
      <c r="E42"/>
      <c r="H42" s="26"/>
      <c r="I42" s="26"/>
      <c r="J42" s="26"/>
      <c r="K42" s="26"/>
      <c r="L42" s="26"/>
      <c r="M42" s="26"/>
      <c r="N42" s="122"/>
      <c r="O42"/>
    </row>
    <row r="43" spans="1:15" s="2" customFormat="1">
      <c r="A43"/>
      <c r="B43"/>
      <c r="C43"/>
      <c r="D43"/>
      <c r="E43"/>
      <c r="H43" s="26"/>
      <c r="I43" s="26"/>
      <c r="J43" s="26"/>
      <c r="K43" s="26"/>
      <c r="L43" s="26"/>
      <c r="M43" s="26"/>
      <c r="N43" s="122"/>
      <c r="O43"/>
    </row>
    <row r="44" spans="1:15" s="2" customFormat="1">
      <c r="A44"/>
      <c r="B44"/>
      <c r="C44"/>
      <c r="D44"/>
      <c r="E44"/>
      <c r="H44" s="26"/>
      <c r="I44" s="26"/>
      <c r="J44" s="26"/>
      <c r="K44" s="26"/>
      <c r="L44" s="26"/>
      <c r="M44" s="26"/>
      <c r="N44" s="122"/>
      <c r="O44"/>
    </row>
    <row r="45" spans="1:15" s="2" customFormat="1">
      <c r="A45"/>
      <c r="B45"/>
      <c r="C45"/>
      <c r="D45"/>
      <c r="E45"/>
      <c r="H45" s="26"/>
      <c r="I45" s="26"/>
      <c r="J45" s="26"/>
      <c r="K45" s="26"/>
      <c r="L45" s="26"/>
      <c r="M45" s="26"/>
      <c r="N45" s="122"/>
      <c r="O45"/>
    </row>
    <row r="46" spans="1:15" s="2" customFormat="1">
      <c r="A46"/>
      <c r="B46"/>
      <c r="C46"/>
      <c r="D46"/>
      <c r="E46"/>
      <c r="H46" s="26"/>
      <c r="I46" s="26"/>
      <c r="J46" s="26"/>
      <c r="K46" s="26"/>
      <c r="L46" s="26"/>
      <c r="M46" s="26"/>
      <c r="N46" s="122"/>
      <c r="O46"/>
    </row>
    <row r="47" spans="1:15" s="2" customFormat="1">
      <c r="A47"/>
      <c r="B47"/>
      <c r="C47"/>
      <c r="D47"/>
      <c r="E47"/>
      <c r="H47" s="26"/>
      <c r="I47" s="26"/>
      <c r="J47" s="26"/>
      <c r="K47" s="26"/>
      <c r="L47" s="26"/>
      <c r="M47" s="26"/>
      <c r="N47" s="122"/>
      <c r="O47"/>
    </row>
    <row r="48" spans="1:15" s="2" customFormat="1">
      <c r="A48"/>
      <c r="B48"/>
      <c r="C48"/>
      <c r="D48"/>
      <c r="E48"/>
      <c r="H48" s="26"/>
      <c r="I48" s="26"/>
      <c r="J48" s="26"/>
      <c r="K48" s="26"/>
      <c r="L48" s="26"/>
      <c r="M48" s="26"/>
      <c r="N48" s="122"/>
      <c r="O48"/>
    </row>
  </sheetData>
  <mergeCells count="25">
    <mergeCell ref="A11:A15"/>
    <mergeCell ref="B11:B15"/>
    <mergeCell ref="C11:C15"/>
    <mergeCell ref="D11:D15"/>
    <mergeCell ref="A2:N2"/>
    <mergeCell ref="A6:A10"/>
    <mergeCell ref="B6:B10"/>
    <mergeCell ref="C6:C10"/>
    <mergeCell ref="D6:D10"/>
    <mergeCell ref="A16:A20"/>
    <mergeCell ref="B16:B20"/>
    <mergeCell ref="C16:C20"/>
    <mergeCell ref="D16:D20"/>
    <mergeCell ref="A21:A25"/>
    <mergeCell ref="B21:B25"/>
    <mergeCell ref="C21:C25"/>
    <mergeCell ref="D21:D25"/>
    <mergeCell ref="A26:A30"/>
    <mergeCell ref="B26:B30"/>
    <mergeCell ref="C26:C30"/>
    <mergeCell ref="D26:D30"/>
    <mergeCell ref="A31:A35"/>
    <mergeCell ref="B31:B35"/>
    <mergeCell ref="C31:C35"/>
    <mergeCell ref="D31:D3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A7" zoomScale="70" zoomScaleNormal="70" workbookViewId="0">
      <selection activeCell="D25" sqref="D25"/>
    </sheetView>
  </sheetViews>
  <sheetFormatPr defaultColWidth="9" defaultRowHeight="18.75"/>
  <cols>
    <col min="1" max="1" width="9" style="148"/>
    <col min="2" max="2" width="16.625" style="148" customWidth="1"/>
    <col min="3" max="3" width="56.125" style="148" bestFit="1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2.125" style="165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149"/>
      <c r="C2" s="149"/>
      <c r="D2" s="149"/>
      <c r="E2" s="149"/>
      <c r="F2" s="149"/>
      <c r="G2" s="149"/>
      <c r="H2" s="149"/>
    </row>
    <row r="3" spans="2:15" ht="26.25">
      <c r="B3" s="372"/>
      <c r="C3" s="373"/>
      <c r="D3" s="149"/>
      <c r="E3" s="149"/>
      <c r="F3" s="149"/>
      <c r="G3" s="149"/>
      <c r="H3" s="149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231</v>
      </c>
      <c r="D5" s="166" t="s">
        <v>36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v>2887</v>
      </c>
      <c r="E6" s="151"/>
      <c r="F6" s="151"/>
      <c r="G6" s="151"/>
      <c r="H6" s="181"/>
      <c r="I6" s="152" t="s">
        <v>240</v>
      </c>
      <c r="J6" s="361">
        <f xml:space="preserve"> 'סיכום עלויות מנחם בגין ומאמוניה'!F73 -  J27 - J51</f>
        <v>5634.7876366324008</v>
      </c>
      <c r="K6" s="375">
        <f xml:space="preserve"> J6 / D6</f>
        <v>1.9517795762495327</v>
      </c>
      <c r="L6" s="361">
        <f xml:space="preserve"> K6 * 12</f>
        <v>23.421354914994392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287</v>
      </c>
      <c r="D9" s="162">
        <f xml:space="preserve"> J16</f>
        <v>5634.7876366324008</v>
      </c>
      <c r="E9" s="162">
        <f t="shared" ref="E9:F9" si="0" xml:space="preserve"> K16</f>
        <v>1.9517795762495327</v>
      </c>
      <c r="F9" s="162">
        <f t="shared" si="0"/>
        <v>23.421354914994392</v>
      </c>
      <c r="G9" s="18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41901.813902187328</v>
      </c>
      <c r="E10" s="162">
        <f t="shared" ref="E10:F10" si="1" xml:space="preserve"> K30</f>
        <v>14.51396394256575</v>
      </c>
      <c r="F10" s="162">
        <f t="shared" si="1"/>
        <v>174.16756731078902</v>
      </c>
      <c r="G10" s="188"/>
      <c r="I10" s="152" t="s">
        <v>246</v>
      </c>
      <c r="J10" s="171"/>
      <c r="K10" s="172"/>
      <c r="L10" s="171"/>
      <c r="N10" s="183"/>
      <c r="O10" s="182"/>
    </row>
    <row r="11" spans="2:15">
      <c r="B11" s="155">
        <v>3</v>
      </c>
      <c r="C11" s="155" t="s">
        <v>247</v>
      </c>
      <c r="D11" s="162">
        <f xml:space="preserve"> J40</f>
        <v>64209.667614377708</v>
      </c>
      <c r="E11" s="162">
        <f t="shared" ref="E11:F11" si="2" xml:space="preserve"> K40</f>
        <v>22.240965574775785</v>
      </c>
      <c r="F11" s="162">
        <f t="shared" si="2"/>
        <v>266.89158689730948</v>
      </c>
      <c r="G11" s="18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0</v>
      </c>
      <c r="E12" s="162">
        <f t="shared" ref="E12:F12" si="3">K48</f>
        <v>0</v>
      </c>
      <c r="F12" s="162">
        <f t="shared" si="3"/>
        <v>0</v>
      </c>
      <c r="G12" s="18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199.72</v>
      </c>
      <c r="E13" s="162">
        <f t="shared" ref="E13:F13" si="4">K56</f>
        <v>6.9179078628333904E-2</v>
      </c>
      <c r="F13" s="162">
        <f t="shared" si="4"/>
        <v>0.8301489435400069</v>
      </c>
      <c r="G13" s="18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>
        <f xml:space="preserve"> 'סיכום עלויות חודשי - צמוד 01.17'!L73</f>
        <v>4923.143198482665</v>
      </c>
      <c r="E14" s="162">
        <f xml:space="preserve"> D14 / $D$6</f>
        <v>1.7052799440535729</v>
      </c>
      <c r="F14" s="162">
        <f xml:space="preserve"> E14 * 12</f>
        <v>20.463359328642873</v>
      </c>
      <c r="G14" s="189" t="s">
        <v>278</v>
      </c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116869.13235168011</v>
      </c>
      <c r="E15" s="162">
        <f t="shared" ref="E15:F15" si="5">SUM(E9:E14)</f>
        <v>40.481168116272976</v>
      </c>
      <c r="F15" s="162">
        <f t="shared" si="5"/>
        <v>485.77401739527579</v>
      </c>
      <c r="G15" s="18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5634.7876366324008</v>
      </c>
      <c r="K16" s="195">
        <f>SUM(K6:K13)</f>
        <v>1.9517795762495327</v>
      </c>
      <c r="L16" s="195">
        <f>SUM(L6:L13)</f>
        <v>23.421354914994392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279</v>
      </c>
      <c r="D19" s="161">
        <v>35200</v>
      </c>
      <c r="E19" s="186">
        <f xml:space="preserve"> D19 / $D$6</f>
        <v>12.192587461032213</v>
      </c>
      <c r="F19" s="187">
        <f xml:space="preserve"> E19 * 12</f>
        <v>146.31104953238656</v>
      </c>
      <c r="G19" s="185"/>
      <c r="I19" s="152" t="s">
        <v>251</v>
      </c>
      <c r="J19" s="196">
        <f xml:space="preserve"> 'סיכום עלויות מנחם בגין ומאמוניה'!I73 - J33 - J35 - J36</f>
        <v>27876.588254244372</v>
      </c>
      <c r="K19" s="161">
        <f xml:space="preserve"> J19 / $D$6</f>
        <v>9.655901716052778</v>
      </c>
      <c r="L19" s="162">
        <f xml:space="preserve"> K19 * 12</f>
        <v>115.87082059263334</v>
      </c>
    </row>
    <row r="20" spans="1:12">
      <c r="B20" s="155">
        <v>7</v>
      </c>
      <c r="C20" s="155" t="s">
        <v>280</v>
      </c>
      <c r="D20" s="161">
        <v>3800</v>
      </c>
      <c r="E20" s="186">
        <f xml:space="preserve"> D20 / $D$6</f>
        <v>1.3162452372705231</v>
      </c>
      <c r="F20" s="187">
        <f xml:space="preserve"> E20 * 12</f>
        <v>15.794942847246277</v>
      </c>
      <c r="G20" s="185"/>
      <c r="H20" s="218"/>
      <c r="I20" s="175" t="s">
        <v>252</v>
      </c>
      <c r="J20" s="361">
        <f xml:space="preserve"> 'סיכום עלויות מנחם בגין ומאמוניה'!K73</f>
        <v>10586.645647942953</v>
      </c>
      <c r="K20" s="361">
        <f xml:space="preserve"> J20 / D6</f>
        <v>3.6670057665199005</v>
      </c>
      <c r="L20" s="361">
        <f t="shared" ref="L20" si="6" xml:space="preserve"> K20 * 12</f>
        <v>44.00406919823881</v>
      </c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62"/>
      <c r="K21" s="362"/>
      <c r="L21" s="362"/>
    </row>
    <row r="22" spans="1:12" ht="19.5" thickBot="1">
      <c r="E22" s="151"/>
      <c r="I22" s="152" t="s">
        <v>255</v>
      </c>
      <c r="J22" s="362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1365.0000000000002</v>
      </c>
      <c r="E23" s="186">
        <f xml:space="preserve"> D23 / $D$6</f>
        <v>0.47280914444059585</v>
      </c>
      <c r="F23" s="187">
        <f xml:space="preserve"> E23 * 12</f>
        <v>5.6737097332871507</v>
      </c>
      <c r="G23" s="159"/>
      <c r="I23" s="152" t="s">
        <v>256</v>
      </c>
      <c r="J23" s="362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62"/>
      <c r="K24" s="362"/>
      <c r="L24" s="362"/>
    </row>
    <row r="25" spans="1:12">
      <c r="B25" s="155" t="s">
        <v>234</v>
      </c>
      <c r="C25" s="152"/>
      <c r="D25" s="162">
        <f xml:space="preserve"> D15 + D19 + D20 + D23</f>
        <v>157234.13235168011</v>
      </c>
      <c r="E25" s="164">
        <f xml:space="preserve"> E15 + E19 + E20 + E23</f>
        <v>54.462809959016305</v>
      </c>
      <c r="F25" s="164">
        <f xml:space="preserve"> F15 + F19 + F20 + F23</f>
        <v>653.55371950819585</v>
      </c>
      <c r="G25" s="185"/>
      <c r="I25" s="152" t="s">
        <v>258</v>
      </c>
      <c r="J25" s="362"/>
      <c r="K25" s="362"/>
      <c r="L25" s="362"/>
    </row>
    <row r="26" spans="1:12">
      <c r="B26" s="155" t="s">
        <v>235</v>
      </c>
      <c r="C26" s="160">
        <v>0.17</v>
      </c>
      <c r="D26" s="162">
        <f>D25*0.17</f>
        <v>26729.802499785619</v>
      </c>
      <c r="E26" s="162">
        <f t="shared" ref="E26:F26" si="7">E25*0.17</f>
        <v>9.258677693032773</v>
      </c>
      <c r="F26" s="162">
        <f t="shared" si="7"/>
        <v>111.1041323163933</v>
      </c>
      <c r="G26" s="185"/>
      <c r="I26" s="152" t="s">
        <v>259</v>
      </c>
      <c r="J26" s="363"/>
      <c r="K26" s="363"/>
      <c r="L26" s="363"/>
    </row>
    <row r="27" spans="1:12">
      <c r="B27" s="155" t="s">
        <v>236</v>
      </c>
      <c r="C27" s="152"/>
      <c r="D27" s="162">
        <f>D26+D25</f>
        <v>183963.93485146572</v>
      </c>
      <c r="E27" s="162">
        <f t="shared" ref="E27:F27" si="8">E26+E25</f>
        <v>63.721487652049078</v>
      </c>
      <c r="F27" s="162">
        <f t="shared" si="8"/>
        <v>764.65785182458922</v>
      </c>
      <c r="G27" s="185"/>
      <c r="I27" s="176" t="s">
        <v>275</v>
      </c>
      <c r="J27" s="196">
        <v>3438.58</v>
      </c>
      <c r="K27" s="161">
        <f xml:space="preserve"> J27 / $D$6</f>
        <v>1.1910564599930724</v>
      </c>
      <c r="L27" s="162">
        <f xml:space="preserve"> K27 * 12</f>
        <v>14.292677519916868</v>
      </c>
    </row>
    <row r="28" spans="1:12">
      <c r="E28" s="151"/>
      <c r="I28" s="176" t="s">
        <v>246</v>
      </c>
      <c r="J28" s="162"/>
      <c r="K28" s="197"/>
      <c r="L28" s="162"/>
    </row>
    <row r="29" spans="1:12">
      <c r="E29" s="151"/>
      <c r="I29" s="176"/>
      <c r="J29" s="162"/>
      <c r="K29" s="197"/>
      <c r="L29" s="162"/>
    </row>
    <row r="30" spans="1:12">
      <c r="D30" s="148"/>
      <c r="F30" s="148"/>
      <c r="G30" s="148"/>
      <c r="I30" s="178" t="s">
        <v>33</v>
      </c>
      <c r="J30" s="195">
        <f>SUM(J19:J27)</f>
        <v>41901.813902187328</v>
      </c>
      <c r="K30" s="195">
        <f>SUM(K19:K28)</f>
        <v>14.51396394256575</v>
      </c>
      <c r="L30" s="195">
        <f>SUM(L19:L27)</f>
        <v>174.16756731078902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H33" s="199"/>
      <c r="I33" s="152" t="s">
        <v>260</v>
      </c>
      <c r="J33" s="198">
        <f xml:space="preserve"> 'סיכום עלויות מנחם בגין ומאמוניה'!I70 + 2500</f>
        <v>58178.229614377706</v>
      </c>
      <c r="K33" s="161">
        <f xml:space="preserve"> J33 / $D$6</f>
        <v>20.151794116514619</v>
      </c>
      <c r="L33" s="162">
        <f xml:space="preserve"> K33 * 12</f>
        <v>241.82152939817541</v>
      </c>
    </row>
    <row r="34" spans="2:14" ht="19.5" thickBot="1">
      <c r="B34" s="367"/>
      <c r="C34" s="357"/>
      <c r="D34" s="357"/>
      <c r="E34" s="357"/>
      <c r="F34" s="358"/>
      <c r="H34" s="182"/>
      <c r="I34" s="152" t="s">
        <v>261</v>
      </c>
      <c r="J34" s="162"/>
      <c r="K34" s="172"/>
      <c r="L34" s="171"/>
    </row>
    <row r="35" spans="2:14">
      <c r="I35" s="152" t="s">
        <v>262</v>
      </c>
      <c r="J35" s="162">
        <v>290</v>
      </c>
      <c r="K35" s="161">
        <f xml:space="preserve"> J35 / $D$6</f>
        <v>0.10045029442327676</v>
      </c>
      <c r="L35" s="162">
        <f xml:space="preserve"> K35 * 12</f>
        <v>1.2054035330793211</v>
      </c>
    </row>
    <row r="36" spans="2:14" ht="19.5" thickBot="1">
      <c r="I36" s="180" t="s">
        <v>263</v>
      </c>
      <c r="J36" s="162">
        <v>920</v>
      </c>
      <c r="K36" s="161">
        <f xml:space="preserve"> J36 / $D$6</f>
        <v>0.31866989954970559</v>
      </c>
      <c r="L36" s="162">
        <f xml:space="preserve"> K36 * 12</f>
        <v>3.8240387945964671</v>
      </c>
      <c r="N36" s="151"/>
    </row>
    <row r="37" spans="2:14">
      <c r="C37" s="248" t="s">
        <v>327</v>
      </c>
      <c r="D37" s="249" t="s">
        <v>326</v>
      </c>
      <c r="E37" s="249" t="s">
        <v>325</v>
      </c>
      <c r="F37" s="166" t="s">
        <v>324</v>
      </c>
      <c r="I37" s="152" t="s">
        <v>264</v>
      </c>
      <c r="J37" s="162"/>
      <c r="K37" s="172"/>
      <c r="L37" s="171"/>
      <c r="N37" s="151"/>
    </row>
    <row r="38" spans="2:14" ht="19.5" thickBot="1">
      <c r="C38" s="250">
        <v>12</v>
      </c>
      <c r="D38" s="272">
        <f xml:space="preserve"> D6</f>
        <v>2887</v>
      </c>
      <c r="E38" s="252">
        <f xml:space="preserve"> D38 * C38</f>
        <v>34644</v>
      </c>
      <c r="F38" s="253">
        <f xml:space="preserve"> E38 * 12</f>
        <v>415728</v>
      </c>
      <c r="I38" s="152" t="s">
        <v>246</v>
      </c>
      <c r="J38" s="162"/>
      <c r="K38" s="172"/>
      <c r="L38" s="171"/>
      <c r="N38" s="174"/>
    </row>
    <row r="39" spans="2:14" ht="19.5" thickBot="1">
      <c r="C39" s="151"/>
      <c r="D39" s="185"/>
      <c r="E39" s="151"/>
      <c r="F39" s="185"/>
      <c r="I39" s="180" t="s">
        <v>276</v>
      </c>
      <c r="J39" s="162">
        <f xml:space="preserve"> 'סיכום עלויות מנחם בגין ומאמוניה'!M73</f>
        <v>4821.4380000000001</v>
      </c>
      <c r="K39" s="161">
        <f xml:space="preserve"> J39 / $D$6</f>
        <v>1.6700512642881884</v>
      </c>
      <c r="L39" s="162">
        <f xml:space="preserve"> K39 * 12</f>
        <v>20.04061517145826</v>
      </c>
      <c r="N39" s="151"/>
    </row>
    <row r="40" spans="2:14">
      <c r="C40" s="248" t="s">
        <v>328</v>
      </c>
      <c r="D40" s="257">
        <v>2020</v>
      </c>
      <c r="E40" s="249">
        <v>2021</v>
      </c>
      <c r="F40" s="258" t="s">
        <v>33</v>
      </c>
      <c r="I40" s="155" t="s">
        <v>33</v>
      </c>
      <c r="J40" s="195">
        <f>SUM(J33:J39)</f>
        <v>64209.667614377708</v>
      </c>
      <c r="K40" s="195">
        <f>SUM(K33:K39)</f>
        <v>22.240965574775785</v>
      </c>
      <c r="L40" s="195">
        <f>SUM(L33:L39)</f>
        <v>266.89158689730948</v>
      </c>
    </row>
    <row r="41" spans="2:14">
      <c r="C41" s="254" t="s">
        <v>351</v>
      </c>
      <c r="D41" s="247"/>
      <c r="E41" s="247">
        <v>180000</v>
      </c>
      <c r="F41" s="255">
        <f t="shared" ref="F41:F42" si="9">SUM(D41:E41)</f>
        <v>180000</v>
      </c>
      <c r="I41" s="151"/>
      <c r="J41" s="174"/>
      <c r="K41" s="151"/>
      <c r="L41" s="174"/>
    </row>
    <row r="42" spans="2:14">
      <c r="C42" s="254" t="s">
        <v>374</v>
      </c>
      <c r="D42" s="247"/>
      <c r="E42" s="247">
        <v>700000</v>
      </c>
      <c r="F42" s="255">
        <f t="shared" si="9"/>
        <v>700000</v>
      </c>
      <c r="I42" s="167" t="s">
        <v>265</v>
      </c>
      <c r="J42" s="168" t="s">
        <v>273</v>
      </c>
      <c r="K42" s="168" t="s">
        <v>239</v>
      </c>
      <c r="L42" s="168" t="s">
        <v>238</v>
      </c>
    </row>
    <row r="43" spans="2:14">
      <c r="C43" s="254"/>
      <c r="D43" s="247"/>
      <c r="E43" s="247"/>
      <c r="F43" s="255"/>
      <c r="I43" s="152" t="s">
        <v>266</v>
      </c>
      <c r="J43" s="171"/>
      <c r="K43" s="171" t="s">
        <v>274</v>
      </c>
      <c r="L43" s="171" t="s">
        <v>274</v>
      </c>
    </row>
    <row r="44" spans="2:14">
      <c r="C44" s="254"/>
      <c r="D44" s="247"/>
      <c r="E44" s="247"/>
      <c r="F44" s="255"/>
      <c r="I44" s="152" t="s">
        <v>267</v>
      </c>
      <c r="J44" s="171"/>
      <c r="K44" s="171" t="s">
        <v>274</v>
      </c>
      <c r="L44" s="171" t="s">
        <v>274</v>
      </c>
    </row>
    <row r="45" spans="2:14">
      <c r="C45" s="254"/>
      <c r="D45" s="247"/>
      <c r="E45" s="247"/>
      <c r="F45" s="255"/>
      <c r="I45" s="180" t="s">
        <v>268</v>
      </c>
      <c r="J45" s="171"/>
      <c r="K45" s="171" t="s">
        <v>274</v>
      </c>
      <c r="L45" s="171" t="s">
        <v>274</v>
      </c>
    </row>
    <row r="46" spans="2:14" ht="19.5" thickBot="1">
      <c r="C46" s="250"/>
      <c r="D46" s="256"/>
      <c r="E46" s="256"/>
      <c r="F46" s="255"/>
      <c r="I46" s="152" t="s">
        <v>246</v>
      </c>
      <c r="J46" s="171"/>
      <c r="K46" s="171" t="s">
        <v>274</v>
      </c>
      <c r="L46" s="171" t="s">
        <v>274</v>
      </c>
    </row>
    <row r="47" spans="2:14" ht="19.5" thickBot="1">
      <c r="C47" s="260" t="s">
        <v>33</v>
      </c>
      <c r="D47" s="259">
        <f>SUM(D41:D46)</f>
        <v>0</v>
      </c>
      <c r="E47" s="256">
        <f>SUM(E41:E46)</f>
        <v>880000</v>
      </c>
      <c r="F47" s="253">
        <f t="shared" ref="F47" si="10">SUM(F40:F46)</f>
        <v>880000</v>
      </c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0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>
        <v>199.72</v>
      </c>
      <c r="K51" s="368">
        <f xml:space="preserve"> J51/ $D$6</f>
        <v>6.9179078628333904E-2</v>
      </c>
      <c r="L51" s="368">
        <f xml:space="preserve"> K51 * 12</f>
        <v>0.8301489435400069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199.72</v>
      </c>
      <c r="K56" s="194">
        <f>SUM(K51:K55)</f>
        <v>6.9179078628333904E-2</v>
      </c>
      <c r="L56" s="194">
        <f>SUM(L51:L55)</f>
        <v>0.8301489435400069</v>
      </c>
    </row>
    <row r="57" spans="9:12">
      <c r="I57" s="174"/>
      <c r="J57" s="151"/>
      <c r="K57" s="151"/>
      <c r="L57" s="151"/>
    </row>
  </sheetData>
  <mergeCells count="15">
    <mergeCell ref="J51:J53"/>
    <mergeCell ref="K51:K53"/>
    <mergeCell ref="L51:L53"/>
    <mergeCell ref="B1:I1"/>
    <mergeCell ref="B3:C3"/>
    <mergeCell ref="D4:J4"/>
    <mergeCell ref="J6:J7"/>
    <mergeCell ref="K6:K7"/>
    <mergeCell ref="L6:L7"/>
    <mergeCell ref="B15:C15"/>
    <mergeCell ref="J20:J26"/>
    <mergeCell ref="K20:K26"/>
    <mergeCell ref="L20:L26"/>
    <mergeCell ref="D21:F21"/>
    <mergeCell ref="B32:F34"/>
  </mergeCells>
  <pageMargins left="0.70866141732283505" right="0.70866141732283505" top="0.74803149606299202" bottom="0.74803149606299202" header="0.31496062992126" footer="0.31496062992126"/>
  <pageSetup paperSize="9" scale="46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rightToLeft="1" topLeftCell="B13" zoomScale="80" zoomScaleNormal="80" workbookViewId="0">
      <selection activeCell="D24" sqref="D24"/>
    </sheetView>
  </sheetViews>
  <sheetFormatPr defaultColWidth="9" defaultRowHeight="18.75"/>
  <cols>
    <col min="1" max="1" width="9" style="148"/>
    <col min="2" max="2" width="21.625" style="148" customWidth="1"/>
    <col min="3" max="3" width="55.6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5.1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34.125" style="148" customWidth="1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149"/>
      <c r="C2" s="149"/>
      <c r="D2" s="149"/>
      <c r="E2" s="149"/>
      <c r="F2" s="149"/>
      <c r="G2" s="149"/>
      <c r="H2" s="149"/>
    </row>
    <row r="3" spans="2:15" ht="26.25">
      <c r="B3" s="372"/>
      <c r="C3" s="373"/>
      <c r="D3" s="149"/>
      <c r="E3" s="149"/>
      <c r="F3" s="149"/>
      <c r="G3" s="149"/>
      <c r="H3" s="149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231</v>
      </c>
      <c r="D5" s="166" t="s">
        <v>362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v>27313.32</v>
      </c>
      <c r="E6" s="151"/>
      <c r="F6" s="151"/>
      <c r="G6" s="151"/>
      <c r="H6" s="181"/>
      <c r="I6" s="152" t="s">
        <v>240</v>
      </c>
      <c r="J6" s="361">
        <f xml:space="preserve"> 'סיכום עלויות מנחם בגין ומאמוניה'!F47 - J28 - J56</f>
        <v>53309.633137909659</v>
      </c>
      <c r="K6" s="375">
        <f xml:space="preserve"> J6 / $D$6</f>
        <v>1.9517815167804449</v>
      </c>
      <c r="L6" s="361">
        <f xml:space="preserve"> K6 * 12</f>
        <v>23.421378201365339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80" t="s">
        <v>243</v>
      </c>
      <c r="J8" s="162"/>
      <c r="K8" s="278">
        <f xml:space="preserve"> J8 / $D$6</f>
        <v>0</v>
      </c>
      <c r="L8" s="279">
        <f xml:space="preserve"> K8 * 12</f>
        <v>0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J17</f>
        <v>53309.633137909659</v>
      </c>
      <c r="E9" s="162">
        <f t="shared" ref="E9:F9" si="0" xml:space="preserve"> K17</f>
        <v>1.9517815167804449</v>
      </c>
      <c r="F9" s="162">
        <f t="shared" si="0"/>
        <v>23.421378201365339</v>
      </c>
      <c r="G9" s="188"/>
      <c r="H9" s="218"/>
      <c r="I9" s="180" t="s">
        <v>244</v>
      </c>
      <c r="J9" s="162"/>
      <c r="K9" s="278">
        <f xml:space="preserve"> J9 / $D$6</f>
        <v>0</v>
      </c>
      <c r="L9" s="279">
        <f xml:space="preserve"> K9 * 12</f>
        <v>0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199526.93803425063</v>
      </c>
      <c r="E10" s="162">
        <f t="shared" ref="E10:F10" si="1" xml:space="preserve"> K30</f>
        <v>7.305114795061554</v>
      </c>
      <c r="F10" s="162">
        <f t="shared" si="1"/>
        <v>87.661377540738641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337028.07145347079</v>
      </c>
      <c r="E11" s="162">
        <f t="shared" ref="E11:F11" si="2" xml:space="preserve"> K40</f>
        <v>12.339330094381451</v>
      </c>
      <c r="F11" s="162">
        <f t="shared" si="2"/>
        <v>148.07196113257743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517937.71006666671</v>
      </c>
      <c r="E12" s="162">
        <f t="shared" ref="E12:F12" si="3">K48</f>
        <v>16.766806582527014</v>
      </c>
      <c r="F12" s="162">
        <f t="shared" si="3"/>
        <v>201.20167899032415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1889.4672109931601</v>
      </c>
      <c r="E13" s="162">
        <f t="shared" ref="E13:F13" si="4">K56</f>
        <v>6.9177500611172865E-2</v>
      </c>
      <c r="F13" s="162">
        <f t="shared" si="4"/>
        <v>0.83013000733407438</v>
      </c>
      <c r="G13" s="188"/>
      <c r="H13" s="218"/>
      <c r="I13" s="152"/>
      <c r="J13" s="171"/>
      <c r="K13" s="172"/>
      <c r="L13" s="171"/>
    </row>
    <row r="14" spans="2:15">
      <c r="B14" s="155">
        <v>6</v>
      </c>
      <c r="C14" s="155" t="s">
        <v>289</v>
      </c>
      <c r="D14" s="162">
        <f xml:space="preserve"> 'סיכום עלויות מנחם בגין ומאמוניה'!N43</f>
        <v>8783.84</v>
      </c>
      <c r="E14" s="162">
        <f xml:space="preserve"> D14 / $D$6</f>
        <v>0.32159547063484045</v>
      </c>
      <c r="F14" s="162">
        <f xml:space="preserve"> E14 * 12</f>
        <v>3.8591456476180852</v>
      </c>
      <c r="G14" s="189" t="s">
        <v>290</v>
      </c>
      <c r="H14" s="218"/>
      <c r="I14" s="152"/>
      <c r="J14" s="171"/>
      <c r="K14" s="172"/>
      <c r="L14" s="171"/>
    </row>
    <row r="15" spans="2:15" ht="39.75">
      <c r="B15" s="155">
        <v>6</v>
      </c>
      <c r="C15" s="155" t="s">
        <v>350</v>
      </c>
      <c r="D15" s="162">
        <f xml:space="preserve"> 'סיכום עלויות חודשי - צמוד 01.17'!L43</f>
        <v>46576.856801517337</v>
      </c>
      <c r="E15" s="162">
        <f xml:space="preserve"> D15 / $D$6</f>
        <v>1.7052799440535731</v>
      </c>
      <c r="F15" s="162">
        <f xml:space="preserve"> E15 * 12</f>
        <v>20.463359328642877</v>
      </c>
      <c r="G15" s="189" t="s">
        <v>278</v>
      </c>
      <c r="H15" s="218"/>
      <c r="I15" s="152"/>
      <c r="J15" s="171"/>
      <c r="K15" s="172"/>
      <c r="L15" s="171"/>
    </row>
    <row r="16" spans="2:15">
      <c r="B16" s="377" t="s">
        <v>33</v>
      </c>
      <c r="C16" s="377"/>
      <c r="D16" s="162">
        <f>SUM(D9:D15)</f>
        <v>1165052.5167048082</v>
      </c>
      <c r="E16" s="162">
        <f t="shared" ref="E16:F16" si="5">SUM(E9:E15)</f>
        <v>40.459085904050049</v>
      </c>
      <c r="F16" s="162">
        <f t="shared" si="5"/>
        <v>485.50903084860056</v>
      </c>
      <c r="G16" s="188"/>
      <c r="H16" s="218"/>
      <c r="I16" s="152"/>
      <c r="J16" s="171"/>
      <c r="K16" s="172"/>
      <c r="L16" s="171"/>
    </row>
    <row r="17" spans="1:13" ht="19.5" thickBot="1">
      <c r="E17" s="151"/>
      <c r="I17" s="155" t="s">
        <v>250</v>
      </c>
      <c r="J17" s="195">
        <f>SUM(J6:J13)</f>
        <v>53309.633137909659</v>
      </c>
      <c r="K17" s="195">
        <f>SUM(K6:K13)</f>
        <v>1.9517815167804449</v>
      </c>
      <c r="L17" s="195">
        <f>SUM(L6:L13)</f>
        <v>23.421378201365339</v>
      </c>
    </row>
    <row r="18" spans="1:13" ht="19.5" thickBot="1">
      <c r="B18" s="190" t="s">
        <v>233</v>
      </c>
      <c r="C18" s="191"/>
      <c r="D18" s="163" t="s">
        <v>277</v>
      </c>
      <c r="E18" s="163" t="s">
        <v>277</v>
      </c>
      <c r="F18" s="192" t="s">
        <v>277</v>
      </c>
      <c r="G18" s="159"/>
      <c r="I18" s="151"/>
      <c r="J18" s="174"/>
      <c r="K18" s="151"/>
      <c r="L18" s="174"/>
    </row>
    <row r="19" spans="1:13">
      <c r="E19" s="156"/>
      <c r="I19" s="167" t="s">
        <v>245</v>
      </c>
      <c r="J19" s="168" t="s">
        <v>273</v>
      </c>
      <c r="K19" s="168" t="s">
        <v>239</v>
      </c>
      <c r="L19" s="168" t="s">
        <v>238</v>
      </c>
    </row>
    <row r="20" spans="1:13">
      <c r="B20" s="155">
        <v>6</v>
      </c>
      <c r="C20" s="285" t="s">
        <v>279</v>
      </c>
      <c r="D20" s="286">
        <v>146500</v>
      </c>
      <c r="E20" s="186">
        <f xml:space="preserve"> D20 / $D$6</f>
        <v>5.3636833603531171</v>
      </c>
      <c r="F20" s="187">
        <f xml:space="preserve"> E20 * 12</f>
        <v>64.364200324237402</v>
      </c>
      <c r="G20" s="185"/>
      <c r="I20" s="152" t="s">
        <v>251</v>
      </c>
      <c r="J20" s="196">
        <f>'סיכום עלויות מנחם בגין ומאמוניה'!G47 - 'סיכום עלויות מנחם בגין ומאמוניה'!G44 - J35 - J36</f>
        <v>148223.67472255864</v>
      </c>
      <c r="K20" s="161">
        <f xml:space="preserve"> J20 / $D$6</f>
        <v>5.4267908376776841</v>
      </c>
      <c r="L20" s="162">
        <f xml:space="preserve"> K20 * 12</f>
        <v>65.121490052132202</v>
      </c>
    </row>
    <row r="21" spans="1:13">
      <c r="B21" s="155">
        <v>7</v>
      </c>
      <c r="C21" s="285" t="s">
        <v>280</v>
      </c>
      <c r="D21" s="286">
        <v>10000</v>
      </c>
      <c r="E21" s="186">
        <f xml:space="preserve"> D21 / $D$6</f>
        <v>0.36612173108212404</v>
      </c>
      <c r="F21" s="187">
        <f xml:space="preserve"> E21 * 12</f>
        <v>4.3934607729854882</v>
      </c>
      <c r="G21" s="185"/>
      <c r="I21" s="175" t="s">
        <v>252</v>
      </c>
      <c r="J21" s="361">
        <f xml:space="preserve"> 'סיכום עלויות מנחם בגין ומאמוניה'!J47 + 60000/12</f>
        <v>18771.56698328811</v>
      </c>
      <c r="K21" s="361">
        <f xml:space="preserve"> J21 / $D$6</f>
        <v>0.68726785990454875</v>
      </c>
      <c r="L21" s="361">
        <f t="shared" ref="L21" si="6" xml:space="preserve"> K21 * 12</f>
        <v>8.247214318854585</v>
      </c>
    </row>
    <row r="22" spans="1:13">
      <c r="B22" s="155">
        <v>8</v>
      </c>
      <c r="C22" s="155" t="s">
        <v>253</v>
      </c>
      <c r="D22" s="381" t="s">
        <v>281</v>
      </c>
      <c r="E22" s="382"/>
      <c r="F22" s="382"/>
      <c r="G22" s="185"/>
      <c r="I22" s="176" t="s">
        <v>254</v>
      </c>
      <c r="J22" s="362"/>
      <c r="K22" s="362"/>
      <c r="L22" s="362"/>
    </row>
    <row r="23" spans="1:13" ht="19.5" thickBot="1">
      <c r="E23" s="151"/>
      <c r="I23" s="152" t="s">
        <v>255</v>
      </c>
      <c r="J23" s="362"/>
      <c r="K23" s="362"/>
      <c r="L23" s="362"/>
    </row>
    <row r="24" spans="1:13" ht="19.5" thickBot="1">
      <c r="B24" s="173" t="s">
        <v>233</v>
      </c>
      <c r="C24" s="177">
        <v>3.5000000000000003E-2</v>
      </c>
      <c r="D24" s="193">
        <f xml:space="preserve"> (D20 + D21) * 0.035</f>
        <v>5477.5000000000009</v>
      </c>
      <c r="E24" s="186">
        <f xml:space="preserve"> D24 / $D$6</f>
        <v>0.20054317820023349</v>
      </c>
      <c r="F24" s="187">
        <f xml:space="preserve"> E24 * 12</f>
        <v>2.4065181384028018</v>
      </c>
      <c r="G24" s="159"/>
      <c r="I24" s="152" t="s">
        <v>256</v>
      </c>
      <c r="J24" s="362"/>
      <c r="K24" s="362"/>
      <c r="L24" s="362"/>
    </row>
    <row r="25" spans="1:13">
      <c r="B25" s="157"/>
      <c r="C25" s="158"/>
      <c r="D25" s="159"/>
      <c r="E25" s="151"/>
      <c r="F25" s="159"/>
      <c r="G25" s="159"/>
      <c r="I25" s="152" t="s">
        <v>257</v>
      </c>
      <c r="J25" s="362"/>
      <c r="K25" s="362"/>
      <c r="L25" s="362"/>
    </row>
    <row r="26" spans="1:13">
      <c r="B26" s="155" t="s">
        <v>234</v>
      </c>
      <c r="C26" s="152"/>
      <c r="D26" s="162">
        <f xml:space="preserve"> D16 + D20 + D21 + D24</f>
        <v>1327030.0167048082</v>
      </c>
      <c r="E26" s="164">
        <f xml:space="preserve"> E16 + E20 + E21 + E24</f>
        <v>46.389434173685522</v>
      </c>
      <c r="F26" s="164">
        <f xml:space="preserve"> F16 + F20 + F21 + F24</f>
        <v>556.67321008422618</v>
      </c>
      <c r="G26" s="185"/>
      <c r="I26" s="152" t="s">
        <v>258</v>
      </c>
      <c r="J26" s="362"/>
      <c r="K26" s="362"/>
      <c r="L26" s="362"/>
    </row>
    <row r="27" spans="1:13">
      <c r="B27" s="155" t="s">
        <v>235</v>
      </c>
      <c r="C27" s="160">
        <v>0.17</v>
      </c>
      <c r="D27" s="162">
        <f>D26*0.17</f>
        <v>225595.10283981741</v>
      </c>
      <c r="E27" s="162">
        <f t="shared" ref="E27:F27" si="7">E26*0.17</f>
        <v>7.8862038095265392</v>
      </c>
      <c r="F27" s="162">
        <f t="shared" si="7"/>
        <v>94.63444571431846</v>
      </c>
      <c r="G27" s="185"/>
      <c r="I27" s="180" t="s">
        <v>363</v>
      </c>
      <c r="J27" s="363"/>
      <c r="K27" s="363"/>
      <c r="L27" s="363"/>
      <c r="M27" s="280" t="s">
        <v>369</v>
      </c>
    </row>
    <row r="28" spans="1:13">
      <c r="B28" s="155" t="s">
        <v>236</v>
      </c>
      <c r="C28" s="152"/>
      <c r="D28" s="162">
        <f>D27+D26</f>
        <v>1552625.1195446257</v>
      </c>
      <c r="E28" s="162">
        <f t="shared" ref="E28:F28" si="8">E27+E26</f>
        <v>54.275637983212064</v>
      </c>
      <c r="F28" s="162">
        <f t="shared" si="8"/>
        <v>651.3076557985446</v>
      </c>
      <c r="G28" s="185"/>
      <c r="I28" s="176" t="s">
        <v>275</v>
      </c>
      <c r="J28" s="148">
        <v>32531.696328403897</v>
      </c>
      <c r="K28" s="161">
        <f xml:space="preserve"> J28 / $D$6</f>
        <v>1.1910560974793214</v>
      </c>
      <c r="L28" s="162">
        <f xml:space="preserve"> K28 * 12</f>
        <v>14.292673169751858</v>
      </c>
    </row>
    <row r="29" spans="1:13">
      <c r="E29" s="151"/>
      <c r="I29" s="176" t="s">
        <v>246</v>
      </c>
      <c r="J29" s="162"/>
      <c r="K29" s="197"/>
      <c r="L29" s="162"/>
    </row>
    <row r="30" spans="1:13" ht="19.5" thickBot="1">
      <c r="D30" s="148"/>
      <c r="F30" s="148"/>
      <c r="G30" s="148"/>
      <c r="I30" s="178" t="s">
        <v>33</v>
      </c>
      <c r="J30" s="195">
        <f>SUM(J20:J28)</f>
        <v>199526.93803425063</v>
      </c>
      <c r="K30" s="195">
        <f>SUM(K20:K29)</f>
        <v>7.305114795061554</v>
      </c>
      <c r="L30" s="195">
        <f>SUM(L20:L28)</f>
        <v>87.661377540738641</v>
      </c>
    </row>
    <row r="31" spans="1:13">
      <c r="C31" s="248" t="s">
        <v>327</v>
      </c>
      <c r="D31" s="249" t="s">
        <v>326</v>
      </c>
      <c r="E31" s="249" t="s">
        <v>325</v>
      </c>
      <c r="F31" s="166" t="s">
        <v>324</v>
      </c>
      <c r="G31" s="166" t="s">
        <v>358</v>
      </c>
      <c r="I31" s="179"/>
      <c r="J31" s="174"/>
      <c r="K31" s="151"/>
      <c r="L31" s="174"/>
    </row>
    <row r="32" spans="1:13" ht="19.5" thickBot="1">
      <c r="A32" s="151"/>
      <c r="C32" s="250">
        <v>12</v>
      </c>
      <c r="D32" s="251">
        <f xml:space="preserve"> D6</f>
        <v>27313.32</v>
      </c>
      <c r="E32" s="252">
        <f xml:space="preserve"> D32 * C32</f>
        <v>327759.83999999997</v>
      </c>
      <c r="F32" s="253">
        <f xml:space="preserve"> E32 * 12</f>
        <v>3933118.0799999996</v>
      </c>
      <c r="G32" s="253">
        <f xml:space="preserve"> F32 * 2</f>
        <v>7866236.1599999992</v>
      </c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3:14" ht="19.5" thickBot="1">
      <c r="C33" s="151"/>
      <c r="D33" s="185"/>
      <c r="E33" s="151"/>
      <c r="F33" s="185"/>
      <c r="I33" s="152" t="s">
        <v>260</v>
      </c>
      <c r="J33" s="198">
        <f xml:space="preserve"> 'סיכום עלויות מנחם בגין ומאמוניה'!H47 + 'סיכום עלויות מנחם בגין ומאמוניה'!G44</f>
        <v>312483.68613347079</v>
      </c>
      <c r="K33" s="161">
        <f xml:space="preserve"> J33 / $D$6</f>
        <v>11.440706810210944</v>
      </c>
      <c r="L33" s="162">
        <f xml:space="preserve"> K33 * 12</f>
        <v>137.28848172253134</v>
      </c>
    </row>
    <row r="34" spans="3:14">
      <c r="C34" s="248" t="s">
        <v>328</v>
      </c>
      <c r="D34" s="257">
        <v>2019</v>
      </c>
      <c r="E34" s="249">
        <v>2020</v>
      </c>
      <c r="F34" s="258" t="s">
        <v>33</v>
      </c>
      <c r="G34" s="221"/>
      <c r="I34" s="152" t="s">
        <v>261</v>
      </c>
      <c r="J34" s="162"/>
      <c r="K34" s="172"/>
      <c r="L34" s="171"/>
    </row>
    <row r="35" spans="3:14">
      <c r="C35" s="254" t="s">
        <v>329</v>
      </c>
      <c r="D35" s="247">
        <v>1600000</v>
      </c>
      <c r="E35" s="247">
        <v>1600000</v>
      </c>
      <c r="F35" s="255">
        <f>SUM(D35:E35)</f>
        <v>3200000</v>
      </c>
      <c r="I35" s="152" t="s">
        <v>262</v>
      </c>
      <c r="J35" s="162">
        <v>840</v>
      </c>
      <c r="K35" s="161">
        <f xml:space="preserve"> J35 / $D$6</f>
        <v>3.0754225410898419E-2</v>
      </c>
      <c r="L35" s="162">
        <f xml:space="preserve"> K35 * 12</f>
        <v>0.36905070493078102</v>
      </c>
    </row>
    <row r="36" spans="3:14">
      <c r="C36" s="254" t="s">
        <v>330</v>
      </c>
      <c r="D36" s="247">
        <v>720000</v>
      </c>
      <c r="E36" s="247"/>
      <c r="F36" s="255">
        <f t="shared" ref="F36:F40" si="9">SUM(D36:E36)</f>
        <v>720000</v>
      </c>
      <c r="I36" s="180" t="s">
        <v>263</v>
      </c>
      <c r="J36" s="162">
        <v>4600</v>
      </c>
      <c r="K36" s="161">
        <f xml:space="preserve"> J36 / $D$6</f>
        <v>0.16841599629777707</v>
      </c>
      <c r="L36" s="162">
        <f xml:space="preserve"> K36 * 12</f>
        <v>2.0209919555733249</v>
      </c>
      <c r="N36" s="151"/>
    </row>
    <row r="37" spans="3:14">
      <c r="C37" s="254" t="s">
        <v>331</v>
      </c>
      <c r="D37" s="247">
        <v>400000</v>
      </c>
      <c r="E37" s="247">
        <v>400000</v>
      </c>
      <c r="F37" s="255">
        <f t="shared" si="9"/>
        <v>800000</v>
      </c>
      <c r="I37" s="152" t="s">
        <v>264</v>
      </c>
      <c r="J37" s="162"/>
      <c r="K37" s="172"/>
      <c r="L37" s="171"/>
      <c r="N37" s="151"/>
    </row>
    <row r="38" spans="3:14">
      <c r="C38" s="254" t="s">
        <v>332</v>
      </c>
      <c r="D38" s="247">
        <v>125000</v>
      </c>
      <c r="E38" s="247"/>
      <c r="F38" s="255">
        <f t="shared" si="9"/>
        <v>125000</v>
      </c>
      <c r="I38" s="152" t="s">
        <v>246</v>
      </c>
      <c r="J38" s="162"/>
      <c r="K38" s="172"/>
      <c r="L38" s="171"/>
      <c r="N38" s="174"/>
    </row>
    <row r="39" spans="3:14">
      <c r="C39" s="254" t="s">
        <v>333</v>
      </c>
      <c r="D39" s="247">
        <v>50000</v>
      </c>
      <c r="E39" s="247"/>
      <c r="F39" s="255">
        <f t="shared" si="9"/>
        <v>50000</v>
      </c>
      <c r="I39" s="180" t="s">
        <v>276</v>
      </c>
      <c r="J39" s="162">
        <f xml:space="preserve"> 'סיכום עלויות מנחם בגין ומאמוניה'!M47</f>
        <v>19104.385320000001</v>
      </c>
      <c r="K39" s="161">
        <f xml:space="preserve"> J39 / $D$6</f>
        <v>0.69945306246183181</v>
      </c>
      <c r="L39" s="162">
        <f xml:space="preserve"> K39 * 12</f>
        <v>8.3934367495419817</v>
      </c>
      <c r="N39" s="151"/>
    </row>
    <row r="40" spans="3:14" ht="19.5" thickBot="1">
      <c r="C40" s="250" t="s">
        <v>334</v>
      </c>
      <c r="D40" s="256">
        <v>1000000</v>
      </c>
      <c r="E40" s="256">
        <v>4000000</v>
      </c>
      <c r="F40" s="255">
        <f t="shared" si="9"/>
        <v>5000000</v>
      </c>
      <c r="I40" s="155" t="s">
        <v>33</v>
      </c>
      <c r="J40" s="195">
        <f>SUM(J33:J39)</f>
        <v>337028.07145347079</v>
      </c>
      <c r="K40" s="195">
        <f>SUM(K33:K39)</f>
        <v>12.339330094381451</v>
      </c>
      <c r="L40" s="195">
        <f>SUM(L33:L39)</f>
        <v>148.07196113257743</v>
      </c>
    </row>
    <row r="41" spans="3:14" ht="19.5" thickBot="1">
      <c r="C41" s="260" t="s">
        <v>33</v>
      </c>
      <c r="D41" s="259">
        <f>SUM(D35:D40)</f>
        <v>3895000</v>
      </c>
      <c r="E41" s="256">
        <f>SUM(E35:E40)</f>
        <v>6000000</v>
      </c>
      <c r="F41" s="253">
        <f t="shared" ref="F41" si="10">SUM(F34:F40)</f>
        <v>9895000</v>
      </c>
      <c r="I41" s="151"/>
      <c r="J41" s="174"/>
      <c r="K41" s="151"/>
      <c r="L41" s="174"/>
    </row>
    <row r="42" spans="3:14">
      <c r="I42" s="167" t="s">
        <v>265</v>
      </c>
      <c r="J42" s="168" t="s">
        <v>273</v>
      </c>
      <c r="K42" s="168" t="s">
        <v>239</v>
      </c>
      <c r="L42" s="168" t="s">
        <v>238</v>
      </c>
    </row>
    <row r="43" spans="3:14">
      <c r="I43" s="180" t="s">
        <v>365</v>
      </c>
      <c r="J43" s="198">
        <f xml:space="preserve"> 404293.07 * 1.03</f>
        <v>416421.86210000003</v>
      </c>
      <c r="K43" s="161">
        <f xml:space="preserve"> J43 / $D$6</f>
        <v>15.246109301249355</v>
      </c>
      <c r="L43" s="162">
        <f xml:space="preserve"> K43 * 12</f>
        <v>182.95331161499226</v>
      </c>
    </row>
    <row r="44" spans="3:14">
      <c r="I44" s="180" t="s">
        <v>366</v>
      </c>
      <c r="J44" s="198">
        <f xml:space="preserve"> 104 * 75.79*1.03</f>
        <v>8118.6248000000014</v>
      </c>
      <c r="K44" s="161">
        <f t="shared" ref="K44:K46" si="11" xml:space="preserve"> J44 / $D$6</f>
        <v>0.29724049657822638</v>
      </c>
      <c r="L44" s="162">
        <f t="shared" ref="L44:L46" si="12" xml:space="preserve"> K44 * 12</f>
        <v>3.5668859589387165</v>
      </c>
    </row>
    <row r="45" spans="3:14">
      <c r="I45" s="152" t="s">
        <v>364</v>
      </c>
      <c r="J45" s="198">
        <f>20000+26000/12</f>
        <v>22166.666666666668</v>
      </c>
      <c r="K45" s="161">
        <f t="shared" si="11"/>
        <v>0.81156983723204168</v>
      </c>
      <c r="L45" s="162">
        <f t="shared" si="12"/>
        <v>9.738838046784501</v>
      </c>
    </row>
    <row r="46" spans="3:14">
      <c r="I46" s="152" t="s">
        <v>367</v>
      </c>
      <c r="J46" s="198">
        <f>135000/12</f>
        <v>11250</v>
      </c>
      <c r="K46" s="161">
        <f t="shared" si="11"/>
        <v>0.41188694746738952</v>
      </c>
      <c r="L46" s="162">
        <f t="shared" si="12"/>
        <v>4.9426433696086747</v>
      </c>
      <c r="M46" s="280" t="s">
        <v>368</v>
      </c>
    </row>
    <row r="47" spans="3:14">
      <c r="I47" s="152" t="s">
        <v>415</v>
      </c>
      <c r="J47" s="198">
        <f xml:space="preserve"> 47008.55*1.03 + 11225*1.03</f>
        <v>59980.556500000006</v>
      </c>
      <c r="K47" s="161"/>
      <c r="L47" s="162"/>
    </row>
    <row r="48" spans="3:14" ht="19.5" thickBot="1">
      <c r="I48" s="155" t="s">
        <v>33</v>
      </c>
      <c r="J48" s="195">
        <f>SUM(J43:J47)</f>
        <v>517937.71006666671</v>
      </c>
      <c r="K48" s="195">
        <f>SUM(K43:K47)</f>
        <v>16.766806582527014</v>
      </c>
      <c r="L48" s="195">
        <f>SUM(L43:L47)</f>
        <v>201.20167899032415</v>
      </c>
    </row>
    <row r="49" spans="2:12">
      <c r="B49" s="365" t="s">
        <v>360</v>
      </c>
      <c r="C49" s="353"/>
      <c r="D49" s="353"/>
      <c r="E49" s="353"/>
      <c r="F49" s="354"/>
      <c r="I49" s="151"/>
      <c r="J49" s="174"/>
      <c r="K49" s="151"/>
      <c r="L49" s="174"/>
    </row>
    <row r="50" spans="2:12">
      <c r="B50" s="366"/>
      <c r="C50" s="355"/>
      <c r="D50" s="355"/>
      <c r="E50" s="355"/>
      <c r="F50" s="356"/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2:12" ht="19.5" thickBot="1">
      <c r="B51" s="367"/>
      <c r="C51" s="357"/>
      <c r="D51" s="357"/>
      <c r="E51" s="357"/>
      <c r="F51" s="358"/>
      <c r="I51" s="152" t="s">
        <v>270</v>
      </c>
      <c r="J51" s="368">
        <v>1889.4672109931601</v>
      </c>
      <c r="K51" s="368">
        <f xml:space="preserve"> J51/ $D$6</f>
        <v>6.9177500611172865E-2</v>
      </c>
      <c r="L51" s="368">
        <f xml:space="preserve"> K51 * 12</f>
        <v>0.83013000733407438</v>
      </c>
    </row>
    <row r="52" spans="2:12">
      <c r="I52" s="152" t="s">
        <v>271</v>
      </c>
      <c r="J52" s="369"/>
      <c r="K52" s="369"/>
      <c r="L52" s="369"/>
    </row>
    <row r="53" spans="2:12">
      <c r="B53" s="371" t="s">
        <v>370</v>
      </c>
      <c r="C53" s="152" t="s">
        <v>371</v>
      </c>
      <c r="I53" s="152" t="s">
        <v>272</v>
      </c>
      <c r="J53" s="370"/>
      <c r="K53" s="370"/>
      <c r="L53" s="370"/>
    </row>
    <row r="54" spans="2:12">
      <c r="B54" s="371"/>
      <c r="C54" s="152" t="s">
        <v>372</v>
      </c>
      <c r="I54" s="180" t="s">
        <v>246</v>
      </c>
      <c r="J54" s="171"/>
      <c r="K54" s="172"/>
      <c r="L54" s="171"/>
    </row>
    <row r="55" spans="2:12">
      <c r="B55" s="371"/>
      <c r="C55" s="152" t="s">
        <v>373</v>
      </c>
      <c r="I55" s="180"/>
      <c r="J55" s="171"/>
      <c r="K55" s="172"/>
      <c r="L55" s="171"/>
    </row>
    <row r="56" spans="2:12">
      <c r="B56" s="371"/>
      <c r="C56" s="152" t="s">
        <v>389</v>
      </c>
      <c r="I56" s="155" t="s">
        <v>33</v>
      </c>
      <c r="J56" s="194">
        <f>SUM(J51:J55)</f>
        <v>1889.4672109931601</v>
      </c>
      <c r="K56" s="194">
        <f>SUM(K51:K55)</f>
        <v>6.9177500611172865E-2</v>
      </c>
      <c r="L56" s="194">
        <f>SUM(L51:L55)</f>
        <v>0.83013000733407438</v>
      </c>
    </row>
    <row r="57" spans="2:12">
      <c r="B57" s="371"/>
      <c r="C57" s="152" t="s">
        <v>388</v>
      </c>
      <c r="I57" s="174"/>
      <c r="J57" s="151"/>
      <c r="K57" s="151"/>
      <c r="L57" s="151"/>
    </row>
    <row r="58" spans="2:12">
      <c r="K58" s="218"/>
    </row>
  </sheetData>
  <mergeCells count="16">
    <mergeCell ref="B1:I1"/>
    <mergeCell ref="B3:C3"/>
    <mergeCell ref="D4:J4"/>
    <mergeCell ref="J6:J7"/>
    <mergeCell ref="J21:J27"/>
    <mergeCell ref="B16:C16"/>
    <mergeCell ref="D22:F22"/>
    <mergeCell ref="B49:F51"/>
    <mergeCell ref="J51:J53"/>
    <mergeCell ref="K51:K53"/>
    <mergeCell ref="L51:L53"/>
    <mergeCell ref="K6:K7"/>
    <mergeCell ref="L6:L7"/>
    <mergeCell ref="K21:K27"/>
    <mergeCell ref="L21:L27"/>
    <mergeCell ref="B53:B57"/>
  </mergeCells>
  <pageMargins left="0.70866141732283505" right="0.70866141732283505" top="0.74803149606299202" bottom="0.74803149606299202" header="0.31496062992126" footer="0.31496062992126"/>
  <pageSetup paperSize="9" scale="4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S94"/>
  <sheetViews>
    <sheetView rightToLeft="1" view="pageBreakPreview" zoomScale="50" zoomScaleNormal="100" zoomScaleSheetLayoutView="50" workbookViewId="0">
      <selection activeCell="A2" sqref="A2:O2"/>
    </sheetView>
  </sheetViews>
  <sheetFormatPr defaultRowHeight="14.25"/>
  <cols>
    <col min="1" max="1" width="19.5" customWidth="1"/>
    <col min="2" max="2" width="16.375" customWidth="1"/>
    <col min="3" max="5" width="14.87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1" width="14.125" style="2" customWidth="1"/>
    <col min="12" max="13" width="15.375" style="2" customWidth="1"/>
    <col min="14" max="14" width="17.375" style="2" customWidth="1"/>
    <col min="15" max="15" width="15.875" style="122" customWidth="1"/>
    <col min="16" max="16" width="10.125" customWidth="1"/>
    <col min="17" max="17" width="10.125" bestFit="1" customWidth="1"/>
  </cols>
  <sheetData>
    <row r="1" spans="1:19">
      <c r="L1" s="2">
        <f>1.0528</f>
        <v>1.0528</v>
      </c>
    </row>
    <row r="2" spans="1:19" ht="29.25" customHeight="1" thickBot="1">
      <c r="A2" s="384" t="s">
        <v>322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</row>
    <row r="3" spans="1:19" ht="15" customHeight="1" thickTop="1">
      <c r="A3" s="3"/>
      <c r="B3" s="3" t="s">
        <v>16</v>
      </c>
      <c r="C3" s="3"/>
      <c r="D3" s="200" t="s">
        <v>282</v>
      </c>
      <c r="E3" s="112">
        <f xml:space="preserve"> '[9]מדדים ינואר 2019'!D3</f>
        <v>42.804712369308248</v>
      </c>
      <c r="F3" s="146">
        <f>'[9]מדדים ינואר 2019'!E2</f>
        <v>5.6350265618648976E-2</v>
      </c>
      <c r="G3" s="201" t="s">
        <v>283</v>
      </c>
      <c r="H3" s="90">
        <v>0.35</v>
      </c>
      <c r="I3" s="202">
        <f>'[9]מדדים ינואר 2019'!F5</f>
        <v>7.9556898288015709E-3</v>
      </c>
      <c r="J3" s="203" t="s">
        <v>284</v>
      </c>
      <c r="K3" s="204">
        <v>0.65</v>
      </c>
      <c r="L3" s="121">
        <f>'[9]מדדים ינואר 2019'!F4</f>
        <v>3.4380738624770535E-2</v>
      </c>
      <c r="M3" s="5"/>
      <c r="N3" s="18"/>
      <c r="O3" s="123"/>
    </row>
    <row r="4" spans="1:19" ht="75">
      <c r="A4" s="6"/>
      <c r="B4" s="7" t="s">
        <v>14</v>
      </c>
      <c r="C4" s="7"/>
      <c r="D4" s="7"/>
      <c r="E4" s="7"/>
      <c r="F4" s="8" t="s">
        <v>11</v>
      </c>
      <c r="G4" s="8" t="s">
        <v>28</v>
      </c>
      <c r="H4" s="8" t="s">
        <v>22</v>
      </c>
      <c r="I4" s="32" t="s">
        <v>25</v>
      </c>
      <c r="J4" s="205" t="s">
        <v>19</v>
      </c>
      <c r="K4" s="206" t="s">
        <v>63</v>
      </c>
      <c r="L4" s="8" t="s">
        <v>23</v>
      </c>
      <c r="M4" s="8" t="s">
        <v>288</v>
      </c>
      <c r="N4" s="32" t="s">
        <v>31</v>
      </c>
      <c r="O4" s="224" t="s">
        <v>285</v>
      </c>
      <c r="P4" s="225" t="s">
        <v>323</v>
      </c>
    </row>
    <row r="5" spans="1:19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2" t="s">
        <v>18</v>
      </c>
      <c r="H5" s="12" t="s">
        <v>15</v>
      </c>
      <c r="I5" s="208" t="s">
        <v>17</v>
      </c>
      <c r="J5" s="209" t="s">
        <v>18</v>
      </c>
      <c r="K5" s="210" t="s">
        <v>17</v>
      </c>
      <c r="L5" s="11" t="s">
        <v>13</v>
      </c>
      <c r="M5" s="11" t="s">
        <v>13</v>
      </c>
      <c r="N5" s="33" t="s">
        <v>30</v>
      </c>
      <c r="O5" s="125"/>
    </row>
    <row r="6" spans="1:19" ht="14.1" customHeight="1">
      <c r="A6" s="347" t="s">
        <v>70</v>
      </c>
      <c r="B6" s="397">
        <v>12056.32</v>
      </c>
      <c r="C6" s="325">
        <f>B6/$B$43</f>
        <v>0.44140807488800338</v>
      </c>
      <c r="D6" s="350">
        <f>'[9]סיכום עלויות חודשי - צמוד 01.18'!D6:D10</f>
        <v>7396</v>
      </c>
      <c r="E6" s="84" t="s">
        <v>69</v>
      </c>
      <c r="F6" s="85">
        <f xml:space="preserve"> F43 + F69</f>
        <v>0</v>
      </c>
      <c r="G6" s="85">
        <f t="shared" ref="F6:O10" si="0" xml:space="preserve"> G43 + G69</f>
        <v>0</v>
      </c>
      <c r="H6" s="85">
        <f t="shared" si="0"/>
        <v>0</v>
      </c>
      <c r="I6" s="211">
        <f t="shared" si="0"/>
        <v>0</v>
      </c>
      <c r="J6" s="212">
        <f t="shared" si="0"/>
        <v>0</v>
      </c>
      <c r="K6" s="213">
        <f t="shared" si="0"/>
        <v>0</v>
      </c>
      <c r="L6" s="85">
        <f t="shared" si="0"/>
        <v>51500</v>
      </c>
      <c r="M6" s="85">
        <f t="shared" si="0"/>
        <v>23925.823320000003</v>
      </c>
      <c r="N6" s="85">
        <f t="shared" si="0"/>
        <v>8783.84</v>
      </c>
      <c r="O6" s="126">
        <f t="shared" si="0"/>
        <v>84209.663319999992</v>
      </c>
      <c r="P6" s="44">
        <f xml:space="preserve"> O6 - '[10]סיכום עלויות חודשי - צמוד 01.18'!O6</f>
        <v>0</v>
      </c>
    </row>
    <row r="7" spans="1:19">
      <c r="A7" s="348"/>
      <c r="B7" s="398"/>
      <c r="C7" s="326"/>
      <c r="D7" s="351"/>
      <c r="E7" s="84" t="s">
        <v>66</v>
      </c>
      <c r="F7" s="226">
        <f xml:space="preserve"> F44 + F70</f>
        <v>0</v>
      </c>
      <c r="G7" s="226">
        <f t="shared" si="0"/>
        <v>14724.821055042039</v>
      </c>
      <c r="H7" s="226">
        <f t="shared" si="0"/>
        <v>246755.79033644666</v>
      </c>
      <c r="I7" s="227">
        <f t="shared" si="0"/>
        <v>55678.229614377706</v>
      </c>
      <c r="J7" s="228">
        <f t="shared" si="0"/>
        <v>0</v>
      </c>
      <c r="K7" s="229">
        <f t="shared" si="0"/>
        <v>0</v>
      </c>
      <c r="L7" s="226">
        <f t="shared" si="0"/>
        <v>0</v>
      </c>
      <c r="M7" s="226">
        <f t="shared" si="0"/>
        <v>0</v>
      </c>
      <c r="N7" s="226">
        <f t="shared" si="0"/>
        <v>0</v>
      </c>
      <c r="O7" s="126">
        <f t="shared" si="0"/>
        <v>317158.84100586636</v>
      </c>
      <c r="P7" s="44">
        <f xml:space="preserve"> O7 - '[10]סיכום עלויות חודשי - צמוד 01.18'!O7</f>
        <v>6656.0819850777625</v>
      </c>
      <c r="Q7" s="230">
        <f t="shared" ref="Q7:Q70" si="1" xml:space="preserve"> P7 * 3</f>
        <v>19968.245955233288</v>
      </c>
    </row>
    <row r="8" spans="1:19">
      <c r="A8" s="348"/>
      <c r="B8" s="398"/>
      <c r="C8" s="326"/>
      <c r="D8" s="351"/>
      <c r="E8" s="84" t="s">
        <v>67</v>
      </c>
      <c r="F8" s="226">
        <f xml:space="preserve"> F45 + F71</f>
        <v>31485.031394898222</v>
      </c>
      <c r="G8" s="226">
        <f t="shared" si="0"/>
        <v>49875.380322269928</v>
      </c>
      <c r="H8" s="226">
        <f t="shared" si="0"/>
        <v>16554.320693907444</v>
      </c>
      <c r="I8" s="227">
        <f t="shared" si="0"/>
        <v>10252.215464115186</v>
      </c>
      <c r="J8" s="228">
        <f t="shared" si="0"/>
        <v>4469.9057351403753</v>
      </c>
      <c r="K8" s="229">
        <f t="shared" si="0"/>
        <v>3436.1600357507486</v>
      </c>
      <c r="L8" s="226">
        <f t="shared" si="0"/>
        <v>0</v>
      </c>
      <c r="M8" s="226">
        <f t="shared" si="0"/>
        <v>0</v>
      </c>
      <c r="N8" s="226">
        <f t="shared" si="0"/>
        <v>0</v>
      </c>
      <c r="O8" s="126">
        <f t="shared" si="0"/>
        <v>116073.0136460819</v>
      </c>
      <c r="P8" s="44">
        <f xml:space="preserve"> O8 - '[10]סיכום עלויות חודשי - צמוד 01.18'!O8</f>
        <v>916.15227076037263</v>
      </c>
      <c r="Q8" s="230">
        <f t="shared" si="1"/>
        <v>2748.4568122811179</v>
      </c>
    </row>
    <row r="9" spans="1:19">
      <c r="A9" s="348"/>
      <c r="B9" s="398"/>
      <c r="C9" s="326"/>
      <c r="D9" s="351"/>
      <c r="E9" s="84" t="s">
        <v>68</v>
      </c>
      <c r="F9" s="226">
        <f t="shared" si="0"/>
        <v>63520.144943868028</v>
      </c>
      <c r="G9" s="226">
        <f t="shared" si="0"/>
        <v>100622.14477303906</v>
      </c>
      <c r="H9" s="226">
        <f t="shared" si="0"/>
        <v>33397.865694828659</v>
      </c>
      <c r="I9" s="227">
        <f t="shared" si="0"/>
        <v>20683.549719498922</v>
      </c>
      <c r="J9" s="228">
        <f t="shared" si="0"/>
        <v>9017.90621137989</v>
      </c>
      <c r="K9" s="229">
        <f t="shared" si="0"/>
        <v>6932.3540060557661</v>
      </c>
      <c r="L9" s="226">
        <f t="shared" si="0"/>
        <v>0</v>
      </c>
      <c r="M9" s="226">
        <f t="shared" si="0"/>
        <v>0</v>
      </c>
      <c r="N9" s="226">
        <f t="shared" si="0"/>
        <v>0</v>
      </c>
      <c r="O9" s="126">
        <f t="shared" si="0"/>
        <v>234173.96534867026</v>
      </c>
      <c r="P9" s="44">
        <f xml:space="preserve"> O9 - '[10]סיכום עלויות חודשי - צמוד 01.18'!O9</f>
        <v>7783.4723663577461</v>
      </c>
      <c r="Q9" s="230">
        <f t="shared" si="1"/>
        <v>23350.417099073238</v>
      </c>
    </row>
    <row r="10" spans="1:19">
      <c r="A10" s="349"/>
      <c r="B10" s="399"/>
      <c r="C10" s="327"/>
      <c r="D10" s="352"/>
      <c r="E10" s="84" t="s">
        <v>33</v>
      </c>
      <c r="F10" s="226">
        <f t="shared" si="0"/>
        <v>95005.176338766265</v>
      </c>
      <c r="G10" s="226">
        <f t="shared" si="0"/>
        <v>165222.34615035105</v>
      </c>
      <c r="H10" s="226">
        <f t="shared" si="0"/>
        <v>296707.97672518279</v>
      </c>
      <c r="I10" s="227">
        <f t="shared" si="0"/>
        <v>86613.994797991822</v>
      </c>
      <c r="J10" s="228">
        <f t="shared" si="0"/>
        <v>13487.811946520265</v>
      </c>
      <c r="K10" s="229">
        <f t="shared" si="0"/>
        <v>10368.514041806513</v>
      </c>
      <c r="L10" s="226">
        <f t="shared" si="0"/>
        <v>51500</v>
      </c>
      <c r="M10" s="226">
        <f t="shared" si="0"/>
        <v>23925.823320000003</v>
      </c>
      <c r="N10" s="226">
        <f t="shared" si="0"/>
        <v>8783.84</v>
      </c>
      <c r="O10" s="126">
        <f t="shared" si="0"/>
        <v>751615.48332061851</v>
      </c>
      <c r="P10" s="44">
        <f xml:space="preserve"> O10 - '[10]סיכום עלויות חודשי - צמוד 01.18'!O10</f>
        <v>15355.706622195779</v>
      </c>
      <c r="Q10" s="230">
        <f t="shared" si="1"/>
        <v>46067.119866587338</v>
      </c>
    </row>
    <row r="11" spans="1:19">
      <c r="A11" s="6"/>
      <c r="B11" s="6"/>
      <c r="C11" s="6"/>
      <c r="D11" s="6"/>
      <c r="E11" s="6"/>
      <c r="F11" s="231"/>
      <c r="G11" s="231"/>
      <c r="H11" s="231"/>
      <c r="I11" s="232"/>
      <c r="J11" s="233"/>
      <c r="K11" s="234"/>
      <c r="L11" s="231"/>
      <c r="M11" s="231"/>
      <c r="N11" s="232"/>
      <c r="O11" s="127"/>
      <c r="P11" s="44">
        <f xml:space="preserve"> O11 - '[10]סיכום עלויות חודשי - צמוד 01.18'!O11</f>
        <v>0</v>
      </c>
      <c r="Q11" s="230">
        <f t="shared" si="1"/>
        <v>0</v>
      </c>
    </row>
    <row r="12" spans="1:19" ht="15">
      <c r="A12" s="87" t="s">
        <v>0</v>
      </c>
      <c r="B12" s="88" t="s">
        <v>21</v>
      </c>
      <c r="C12" s="9" t="s">
        <v>230</v>
      </c>
      <c r="D12" s="83">
        <f>'[9]סיכום עלויות חודשי - צמוד 01.18'!D12</f>
        <v>344</v>
      </c>
      <c r="E12" s="9"/>
      <c r="F12" s="231"/>
      <c r="G12" s="231"/>
      <c r="H12" s="231"/>
      <c r="I12" s="232"/>
      <c r="J12" s="233"/>
      <c r="K12" s="234"/>
      <c r="L12" s="231"/>
      <c r="M12" s="231"/>
      <c r="N12" s="232"/>
      <c r="O12" s="127">
        <f>SUM(F12:K12)</f>
        <v>0</v>
      </c>
      <c r="P12" s="44">
        <f xml:space="preserve"> O12 - '[10]סיכום עלויות חודשי - צמוד 01.18'!O12</f>
        <v>0</v>
      </c>
      <c r="Q12" s="230">
        <f t="shared" si="1"/>
        <v>0</v>
      </c>
    </row>
    <row r="13" spans="1:19">
      <c r="A13" s="331" t="s">
        <v>1</v>
      </c>
      <c r="B13" s="388">
        <v>12056.32</v>
      </c>
      <c r="C13" s="337">
        <f>B13/$B$43</f>
        <v>0.44140807488800338</v>
      </c>
      <c r="D13" s="343">
        <f>'[9]סיכום עלויות חודשי - צמוד 01.18'!D13:D17</f>
        <v>2741.25</v>
      </c>
      <c r="E13" s="30" t="s">
        <v>69</v>
      </c>
      <c r="F13" s="231"/>
      <c r="G13" s="231"/>
      <c r="H13" s="231"/>
      <c r="I13" s="232"/>
      <c r="J13" s="233"/>
      <c r="K13" s="234"/>
      <c r="L13" s="231">
        <f xml:space="preserve"> '[9]סיכום עלויות חודשי - צמוד 01.18'!L13</f>
        <v>20559.400695091972</v>
      </c>
      <c r="M13" s="231">
        <f xml:space="preserve"> '[9]סיכום עלויות חודשי - צמוד 01.18'!M13</f>
        <v>11058.833320096655</v>
      </c>
      <c r="N13" s="231">
        <f xml:space="preserve"> '[9]סיכום עלויות חודשי - צמוד 01.18'!N13</f>
        <v>8783.84</v>
      </c>
      <c r="O13" s="127">
        <f t="shared" ref="O13:O16" si="2">SUM(F13:N13)</f>
        <v>40402.074015188628</v>
      </c>
      <c r="P13" s="44">
        <f xml:space="preserve"> O13 - '[10]סיכום עלויות חודשי - צמוד 01.18'!O13</f>
        <v>0</v>
      </c>
      <c r="Q13" s="230">
        <f t="shared" si="1"/>
        <v>0</v>
      </c>
    </row>
    <row r="14" spans="1:19">
      <c r="A14" s="332"/>
      <c r="B14" s="389"/>
      <c r="C14" s="338"/>
      <c r="D14" s="344"/>
      <c r="E14" s="30" t="s">
        <v>66</v>
      </c>
      <c r="F14" s="231"/>
      <c r="G14" s="231">
        <f xml:space="preserve"> ( $D$12 * $C$13 * $E$3)</f>
        <v>6499.6549149764451</v>
      </c>
      <c r="H14" s="231">
        <f xml:space="preserve"> ( D13  * $E$3)</f>
        <v>117338.41778236623</v>
      </c>
      <c r="I14" s="232"/>
      <c r="J14" s="233"/>
      <c r="K14" s="234"/>
      <c r="L14" s="231"/>
      <c r="M14" s="231"/>
      <c r="N14" s="232"/>
      <c r="O14" s="127">
        <f t="shared" si="2"/>
        <v>123838.07269734268</v>
      </c>
      <c r="P14" s="44">
        <f xml:space="preserve"> O14 - '[10]סיכום עלויות חודשי - צמוד 01.18'!O14</f>
        <v>2598.938633188809</v>
      </c>
      <c r="Q14" s="230">
        <f xml:space="preserve"> P14 * 3</f>
        <v>7796.8158995664271</v>
      </c>
      <c r="R14" s="214"/>
      <c r="S14" s="214"/>
    </row>
    <row r="15" spans="1:19">
      <c r="A15" s="332"/>
      <c r="B15" s="389"/>
      <c r="C15" s="338"/>
      <c r="D15" s="344"/>
      <c r="E15" s="30" t="s">
        <v>67</v>
      </c>
      <c r="F15" s="231">
        <f>'[9]סיכום עלויות חודשי - צמוד 01.18'!F15  *( 1 + $I$3 )</f>
        <v>12569.191773694429</v>
      </c>
      <c r="G15" s="231">
        <f>'[9]סיכום עלויות חודשי - צמוד 01.18'!G15  *( 1 + $I$3 )</f>
        <v>22015.395612360171</v>
      </c>
      <c r="H15" s="231">
        <f>'[9]סיכום עלויות חודשי - צמוד 01.18'!H15  *( 1 + $I$3 )</f>
        <v>7405.3698785948518</v>
      </c>
      <c r="I15" s="232"/>
      <c r="J15" s="233">
        <f>'[9]סיכום עלויות חודשי - צמוד 01.18'!J15  *( 1 + $I$3 )</f>
        <v>1973.0524854791583</v>
      </c>
      <c r="K15" s="234"/>
      <c r="L15" s="231"/>
      <c r="M15" s="231"/>
      <c r="N15" s="231"/>
      <c r="O15" s="127">
        <f t="shared" si="2"/>
        <v>43963.009750128607</v>
      </c>
      <c r="P15" s="44">
        <f xml:space="preserve"> O15 - '[10]סיכום עלויות חודשי - צמוד 01.18'!O15</f>
        <v>346.99548109303578</v>
      </c>
      <c r="Q15" s="230">
        <f t="shared" si="1"/>
        <v>1040.9864432791073</v>
      </c>
    </row>
    <row r="16" spans="1:19">
      <c r="A16" s="332"/>
      <c r="B16" s="389"/>
      <c r="C16" s="338"/>
      <c r="D16" s="344"/>
      <c r="E16" s="30" t="s">
        <v>68</v>
      </c>
      <c r="F16" s="231">
        <f>'[9]סיכום עלויות חודשי - צמוד 01.18'!F16 * ( 1 + $L$3)</f>
        <v>25357.982759442781</v>
      </c>
      <c r="G16" s="231">
        <f>'[9]סיכום עלויות חודשי - צמוד 01.18'!G16 * ( 1 + $L$3)</f>
        <v>44415.427215369142</v>
      </c>
      <c r="H16" s="231">
        <f>'[9]סיכום עלויות חודשי - צמוד 01.18'!H16 * ( 1 + $L$3)</f>
        <v>14940.120660877616</v>
      </c>
      <c r="I16" s="232"/>
      <c r="J16" s="233">
        <f>'[9]סיכום עלויות חודשי - צמוד 01.18'!J16 * ( 1 + $L$3)</f>
        <v>3980.5766202857662</v>
      </c>
      <c r="K16" s="234"/>
      <c r="L16" s="231"/>
      <c r="M16" s="231"/>
      <c r="N16" s="231"/>
      <c r="O16" s="127">
        <f t="shared" si="2"/>
        <v>88694.107255975294</v>
      </c>
      <c r="P16" s="44">
        <f xml:space="preserve"> O16 - '[10]סיכום עלויות חודשי - צמוד 01.18'!O16</f>
        <v>2948.0140196531866</v>
      </c>
      <c r="Q16" s="230">
        <f t="shared" si="1"/>
        <v>8844.0420589595597</v>
      </c>
    </row>
    <row r="17" spans="1:17">
      <c r="A17" s="333"/>
      <c r="B17" s="390"/>
      <c r="C17" s="339"/>
      <c r="D17" s="345"/>
      <c r="E17" s="129" t="s">
        <v>33</v>
      </c>
      <c r="F17" s="235">
        <f>SUM(F13:F16)</f>
        <v>37927.174533137208</v>
      </c>
      <c r="G17" s="235">
        <f t="shared" ref="G17:N17" si="3">SUM(G13:G16)</f>
        <v>72930.477742705756</v>
      </c>
      <c r="H17" s="235">
        <f t="shared" si="3"/>
        <v>139683.90832183871</v>
      </c>
      <c r="I17" s="236"/>
      <c r="J17" s="237">
        <f t="shared" si="3"/>
        <v>5953.629105764925</v>
      </c>
      <c r="K17" s="238"/>
      <c r="L17" s="235">
        <f t="shared" si="3"/>
        <v>20559.400695091972</v>
      </c>
      <c r="M17" s="235">
        <f t="shared" si="3"/>
        <v>11058.833320096655</v>
      </c>
      <c r="N17" s="235">
        <f t="shared" si="3"/>
        <v>8783.84</v>
      </c>
      <c r="O17" s="131">
        <f>SUM(F17:N17)</f>
        <v>296897.26371863525</v>
      </c>
      <c r="P17" s="44">
        <f xml:space="preserve"> O17 - '[10]סיכום עלויות חודשי - צמוד 01.18'!O17</f>
        <v>5893.9481339350459</v>
      </c>
      <c r="Q17" s="230">
        <f t="shared" si="1"/>
        <v>17681.844401805138</v>
      </c>
    </row>
    <row r="18" spans="1:17">
      <c r="A18" s="331" t="s">
        <v>2</v>
      </c>
      <c r="B18" s="388">
        <v>3046.36</v>
      </c>
      <c r="C18" s="337">
        <f>B18/$B$43</f>
        <v>0.11153385966993394</v>
      </c>
      <c r="D18" s="340">
        <f>'[9]סיכום עלויות חודשי - צמוד 01.18'!D18:D22</f>
        <v>529.4375</v>
      </c>
      <c r="E18" s="30" t="s">
        <v>69</v>
      </c>
      <c r="F18" s="231"/>
      <c r="G18" s="231"/>
      <c r="H18" s="231"/>
      <c r="I18" s="232"/>
      <c r="J18" s="233"/>
      <c r="K18" s="234"/>
      <c r="L18" s="231">
        <f xml:space="preserve"> '[9]סיכום עלויות חודשי - צמוד 01.18'!L18</f>
        <v>5194.8966103670427</v>
      </c>
      <c r="M18" s="231">
        <f xml:space="preserve"> '[9]סיכום עלויות חודשי - צמוד 01.18'!M18</f>
        <v>1645.4687350347747</v>
      </c>
      <c r="N18" s="231"/>
      <c r="O18" s="127">
        <f t="shared" ref="O18:O21" si="4">SUM(F18:N18)</f>
        <v>6840.3653454018176</v>
      </c>
      <c r="P18" s="44">
        <f xml:space="preserve"> O18 - '[10]סיכום עלויות חודשי - צמוד 01.18'!O18</f>
        <v>0</v>
      </c>
      <c r="Q18" s="230">
        <f t="shared" si="1"/>
        <v>0</v>
      </c>
    </row>
    <row r="19" spans="1:17">
      <c r="A19" s="332"/>
      <c r="B19" s="389"/>
      <c r="C19" s="338"/>
      <c r="D19" s="341"/>
      <c r="E19" s="30" t="s">
        <v>66</v>
      </c>
      <c r="F19" s="231"/>
      <c r="G19" s="231">
        <f xml:space="preserve"> ( $D$12 * $C$18  * $E$3)</f>
        <v>1642.3161252179473</v>
      </c>
      <c r="H19" s="231">
        <f xml:space="preserve"> ( D18 * $E$3)</f>
        <v>22662.419905025636</v>
      </c>
      <c r="I19" s="232"/>
      <c r="J19" s="233"/>
      <c r="K19" s="234"/>
      <c r="L19" s="231"/>
      <c r="M19" s="231"/>
      <c r="N19" s="232"/>
      <c r="O19" s="127">
        <f t="shared" si="4"/>
        <v>24304.736030243585</v>
      </c>
      <c r="P19" s="44">
        <f xml:space="preserve"> O19 - '[10]סיכום עלויות חודשי - צמוד 01.18'!O19</f>
        <v>510.07348598547469</v>
      </c>
      <c r="Q19" s="230">
        <f t="shared" si="1"/>
        <v>1530.2204579564241</v>
      </c>
    </row>
    <row r="20" spans="1:17">
      <c r="A20" s="332"/>
      <c r="B20" s="389"/>
      <c r="C20" s="338"/>
      <c r="D20" s="341"/>
      <c r="E20" s="30" t="s">
        <v>67</v>
      </c>
      <c r="F20" s="231">
        <f>'[9]סיכום עלויות חודשי - צמוד 01.18'!F20  *( 1 + $I$3 )</f>
        <v>3175.951123702072</v>
      </c>
      <c r="G20" s="231">
        <f>'[9]סיכום עלויות חודשי - צמוד 01.18'!G20  *( 1 + $I$3 )</f>
        <v>5562.7936698486392</v>
      </c>
      <c r="H20" s="231">
        <f>'[9]סיכום עלויות חודשי - צמוד 01.18'!H20  *( 1 + $I$3 )</f>
        <v>1783.2768183426247</v>
      </c>
      <c r="I20" s="232"/>
      <c r="J20" s="233">
        <f>'[9]סיכום עלויות חודשי - צמוד 01.18'!J20  *( 1 + $I$3 )</f>
        <v>498.54583900097953</v>
      </c>
      <c r="K20" s="234"/>
      <c r="L20" s="231"/>
      <c r="M20" s="231"/>
      <c r="N20" s="231"/>
      <c r="O20" s="127">
        <f t="shared" si="4"/>
        <v>11020.567450894316</v>
      </c>
      <c r="P20" s="44">
        <f xml:space="preserve"> O20 - '[10]סיכום עלויות חודשי - צמוד 01.18'!O20</f>
        <v>86.984197084690095</v>
      </c>
      <c r="Q20" s="230">
        <f t="shared" si="1"/>
        <v>260.95259125407028</v>
      </c>
    </row>
    <row r="21" spans="1:17">
      <c r="A21" s="332"/>
      <c r="B21" s="389"/>
      <c r="C21" s="338"/>
      <c r="D21" s="341"/>
      <c r="E21" s="30" t="s">
        <v>68</v>
      </c>
      <c r="F21" s="231">
        <f>'[9]סיכום עלויות חודשי - צמוד 01.18'!F21 * ( 1 + $L$3)</f>
        <v>6407.3900127946272</v>
      </c>
      <c r="G21" s="231">
        <f>'[9]סיכום עלויות חודשי - צמוד 01.18'!G21 * ( 1 + $L$3)</f>
        <v>11222.776174803914</v>
      </c>
      <c r="H21" s="231">
        <f>'[9]סיכום עלויות חודשי - צמוד 01.18'!H21 * ( 1 + $L$3)</f>
        <v>3597.7096721116191</v>
      </c>
      <c r="I21" s="232"/>
      <c r="J21" s="233">
        <f>'[9]סיכום עלויות חודשי - צמוד 01.18'!J21 * ( 1 + $L$3)</f>
        <v>1005.8018858966705</v>
      </c>
      <c r="K21" s="234"/>
      <c r="L21" s="231"/>
      <c r="M21" s="231"/>
      <c r="N21" s="231"/>
      <c r="O21" s="127">
        <f t="shared" si="4"/>
        <v>22233.67774560683</v>
      </c>
      <c r="P21" s="44">
        <f xml:space="preserve"> O21 - '[10]סיכום עלויות חודשי - צמוד 01.18'!O21</f>
        <v>739.00280109177766</v>
      </c>
      <c r="Q21" s="230">
        <f t="shared" si="1"/>
        <v>2217.008403275333</v>
      </c>
    </row>
    <row r="22" spans="1:17">
      <c r="A22" s="333"/>
      <c r="B22" s="390"/>
      <c r="C22" s="339"/>
      <c r="D22" s="342"/>
      <c r="E22" s="129" t="s">
        <v>33</v>
      </c>
      <c r="F22" s="235">
        <f>SUM(F18:F21)</f>
        <v>9583.3411364966996</v>
      </c>
      <c r="G22" s="235">
        <f t="shared" ref="G22:H22" si="5">SUM(G18:G21)</f>
        <v>18427.885969870498</v>
      </c>
      <c r="H22" s="235">
        <f t="shared" si="5"/>
        <v>28043.406395479877</v>
      </c>
      <c r="I22" s="236"/>
      <c r="J22" s="237">
        <f t="shared" ref="J22" si="6">SUM(J18:J21)</f>
        <v>1504.3477248976501</v>
      </c>
      <c r="K22" s="238"/>
      <c r="L22" s="235">
        <f t="shared" ref="L22:M22" si="7">SUM(L18:L21)</f>
        <v>5194.8966103670427</v>
      </c>
      <c r="M22" s="235">
        <f t="shared" si="7"/>
        <v>1645.4687350347747</v>
      </c>
      <c r="N22" s="235"/>
      <c r="O22" s="131">
        <f>SUM(F22:N22)</f>
        <v>64399.34657214654</v>
      </c>
      <c r="P22" s="44">
        <f xml:space="preserve"> O22 - '[10]סיכום עלויות חודשי - צמוד 01.18'!O22</f>
        <v>1336.0604841619352</v>
      </c>
      <c r="Q22" s="230">
        <f t="shared" si="1"/>
        <v>4008.1814524858055</v>
      </c>
    </row>
    <row r="23" spans="1:17">
      <c r="A23" s="331" t="s">
        <v>3</v>
      </c>
      <c r="B23" s="388">
        <v>6565</v>
      </c>
      <c r="C23" s="337">
        <f>B23/$B$43</f>
        <v>0.24035891645541443</v>
      </c>
      <c r="D23" s="340">
        <f>'[9]סיכום עלויות חודשי - צמוד 01.18'!D23:D27</f>
        <v>1816.75</v>
      </c>
      <c r="E23" s="30" t="s">
        <v>69</v>
      </c>
      <c r="F23" s="231"/>
      <c r="G23" s="231"/>
      <c r="H23" s="231"/>
      <c r="I23" s="232"/>
      <c r="J23" s="233"/>
      <c r="K23" s="234"/>
      <c r="L23" s="231">
        <f xml:space="preserve"> '[9]סיכום עלויות חודשי - צמוד 01.18'!L23</f>
        <v>11195.162832711707</v>
      </c>
      <c r="M23" s="231">
        <f xml:space="preserve"> '[9]סיכום עלויות חודשי - צמוד 01.18'!M23</f>
        <v>3440.9782479757137</v>
      </c>
      <c r="N23" s="231"/>
      <c r="O23" s="127">
        <f t="shared" ref="O23:O26" si="8">SUM(F23:N23)</f>
        <v>14636.141080687421</v>
      </c>
      <c r="P23" s="44">
        <f xml:space="preserve"> O23 - '[10]סיכום עלויות חודשי - צמוד 01.18'!O23</f>
        <v>0</v>
      </c>
      <c r="Q23" s="230">
        <f t="shared" si="1"/>
        <v>0</v>
      </c>
    </row>
    <row r="24" spans="1:17">
      <c r="A24" s="332"/>
      <c r="B24" s="389"/>
      <c r="C24" s="338"/>
      <c r="D24" s="341"/>
      <c r="E24" s="30" t="s">
        <v>66</v>
      </c>
      <c r="F24" s="231"/>
      <c r="G24" s="231">
        <f xml:space="preserve"> ( $D$12 * $C$23 * $E$3)</f>
        <v>3539.2420337897765</v>
      </c>
      <c r="H24" s="231">
        <f xml:space="preserve"> ( D23 * $E$3)</f>
        <v>77765.461196940756</v>
      </c>
      <c r="I24" s="232"/>
      <c r="J24" s="233"/>
      <c r="K24" s="234"/>
      <c r="L24" s="231"/>
      <c r="M24" s="231"/>
      <c r="N24" s="232"/>
      <c r="O24" s="127">
        <f t="shared" si="8"/>
        <v>81304.703230730534</v>
      </c>
      <c r="P24" s="44">
        <f xml:space="preserve"> O24 - '[10]סיכום עלויות חודשי - צמוד 01.18'!O24</f>
        <v>1706.3083241187269</v>
      </c>
      <c r="Q24" s="230">
        <f t="shared" si="1"/>
        <v>5118.9249723561807</v>
      </c>
    </row>
    <row r="25" spans="1:17">
      <c r="A25" s="332"/>
      <c r="B25" s="389"/>
      <c r="C25" s="338"/>
      <c r="D25" s="341"/>
      <c r="E25" s="30" t="s">
        <v>67</v>
      </c>
      <c r="F25" s="231">
        <f>'[9]סיכום עלויות חודשי - צמוד 01.18'!F25  *( 1 + $I$3 )</f>
        <v>6844.272878814093</v>
      </c>
      <c r="G25" s="231">
        <f>'[9]סיכום עלויות חודשי - צמוד 01.18'!G25  *( 1 + $I$3 )</f>
        <v>11987.992372062499</v>
      </c>
      <c r="H25" s="231">
        <f>'[9]סיכום עלויות חודשי - צמוד 01.18'!H25  *( 1 + $I$3 )</f>
        <v>4856.7310149116438</v>
      </c>
      <c r="I25" s="232"/>
      <c r="J25" s="233">
        <f>'[9]סיכום עלויות חודשי - צמוד 01.18'!J25  *( 1 + $I$3 )</f>
        <v>1074.381699156183</v>
      </c>
      <c r="K25" s="234"/>
      <c r="L25" s="231"/>
      <c r="M25" s="231"/>
      <c r="N25" s="231"/>
      <c r="O25" s="127">
        <f t="shared" si="8"/>
        <v>24763.377964944419</v>
      </c>
      <c r="P25" s="44">
        <f xml:space="preserve"> O25 - '[10]סיכום עלויות חודשי - צמוד 01.18'!O25</f>
        <v>195.45477662409758</v>
      </c>
      <c r="Q25" s="230">
        <f t="shared" si="1"/>
        <v>586.36432987229273</v>
      </c>
    </row>
    <row r="26" spans="1:17">
      <c r="A26" s="332"/>
      <c r="B26" s="389"/>
      <c r="C26" s="338"/>
      <c r="D26" s="341"/>
      <c r="E26" s="30" t="s">
        <v>68</v>
      </c>
      <c r="F26" s="231">
        <f>'[9]סיכום עלויות חודשי - צמוד 01.18'!F26 * ( 1 + $L$3)</f>
        <v>13808.123607845664</v>
      </c>
      <c r="G26" s="231">
        <f>'[9]סיכום עלויות חודשי - צמוד 01.18'!G26 * ( 1 + $L$3)</f>
        <v>24185.429689067514</v>
      </c>
      <c r="H26" s="231">
        <f>'[9]סיכום עלויות חודשי - צמוד 01.18'!H26 * ( 1 + $L$3)</f>
        <v>9798.3150834829939</v>
      </c>
      <c r="I26" s="232"/>
      <c r="J26" s="233">
        <f>'[9]סיכום עלויות חודשי - צמוד 01.18'!J26 * ( 1 + $L$3)</f>
        <v>2167.534165663822</v>
      </c>
      <c r="K26" s="234"/>
      <c r="L26" s="231"/>
      <c r="M26" s="231"/>
      <c r="N26" s="231"/>
      <c r="O26" s="127">
        <f t="shared" si="8"/>
        <v>49959.402546059988</v>
      </c>
      <c r="P26" s="44">
        <f xml:space="preserve"> O26 - '[10]סיכום עלויות חודשי - צמוד 01.18'!O26</f>
        <v>1660.5502177751405</v>
      </c>
      <c r="Q26" s="230">
        <f t="shared" si="1"/>
        <v>4981.6506533254214</v>
      </c>
    </row>
    <row r="27" spans="1:17">
      <c r="A27" s="333"/>
      <c r="B27" s="390"/>
      <c r="C27" s="339"/>
      <c r="D27" s="342"/>
      <c r="E27" s="129" t="s">
        <v>33</v>
      </c>
      <c r="F27" s="235">
        <f>SUM(F23:F26)</f>
        <v>20652.396486659756</v>
      </c>
      <c r="G27" s="235">
        <f t="shared" ref="G27:H27" si="9">SUM(G23:G26)</f>
        <v>39712.66409491979</v>
      </c>
      <c r="H27" s="235">
        <f t="shared" si="9"/>
        <v>92420.507295335381</v>
      </c>
      <c r="I27" s="236"/>
      <c r="J27" s="237">
        <f t="shared" ref="J27" si="10">SUM(J23:J26)</f>
        <v>3241.915864820005</v>
      </c>
      <c r="K27" s="238"/>
      <c r="L27" s="235">
        <f t="shared" ref="L27:M27" si="11">SUM(L23:L26)</f>
        <v>11195.162832711707</v>
      </c>
      <c r="M27" s="235">
        <f t="shared" si="11"/>
        <v>3440.9782479757137</v>
      </c>
      <c r="N27" s="235"/>
      <c r="O27" s="131">
        <f>SUM(F27:N27)</f>
        <v>170663.62482242237</v>
      </c>
      <c r="P27" s="44">
        <f xml:space="preserve"> O27 - '[10]סיכום עלויות חודשי - צמוד 01.18'!O27</f>
        <v>3562.3133185179613</v>
      </c>
      <c r="Q27" s="230">
        <f t="shared" si="1"/>
        <v>10686.939955553884</v>
      </c>
    </row>
    <row r="28" spans="1:17">
      <c r="A28" s="331" t="s">
        <v>4</v>
      </c>
      <c r="B28" s="388">
        <v>4521</v>
      </c>
      <c r="C28" s="337">
        <f>B28/$B$43</f>
        <v>0.16552363462222827</v>
      </c>
      <c r="D28" s="340">
        <f>'[9]סיכום עלויות חודשי - צמוד 01.18'!D28:D32</f>
        <v>516</v>
      </c>
      <c r="E28" s="30" t="s">
        <v>69</v>
      </c>
      <c r="F28" s="231"/>
      <c r="G28" s="231"/>
      <c r="H28" s="231"/>
      <c r="I28" s="232"/>
      <c r="J28" s="233"/>
      <c r="K28" s="234"/>
      <c r="L28" s="231">
        <f xml:space="preserve"> '[9]סיכום עלויות חודשי - צמוד 01.18'!L28</f>
        <v>7709.570627066204</v>
      </c>
      <c r="M28" s="231">
        <f xml:space="preserve"> '[9]סיכום עלויות חודשי - צמוד 01.18'!M28</f>
        <v>2369.6363532518199</v>
      </c>
      <c r="N28" s="231"/>
      <c r="O28" s="127">
        <f t="shared" ref="O28:O31" si="12">SUM(F28:N28)</f>
        <v>10079.206980318024</v>
      </c>
      <c r="P28" s="44">
        <f xml:space="preserve"> O28 - '[10]סיכום עלויות חודשי - צמוד 01.18'!O28</f>
        <v>0</v>
      </c>
      <c r="Q28" s="230">
        <f t="shared" si="1"/>
        <v>0</v>
      </c>
    </row>
    <row r="29" spans="1:17">
      <c r="A29" s="332"/>
      <c r="B29" s="389"/>
      <c r="C29" s="338"/>
      <c r="D29" s="341"/>
      <c r="E29" s="30" t="s">
        <v>66</v>
      </c>
      <c r="F29" s="231"/>
      <c r="G29" s="231">
        <f xml:space="preserve"> ( $D$12 * $C$28  * $E$3)</f>
        <v>2437.3059001924721</v>
      </c>
      <c r="H29" s="231">
        <f xml:space="preserve"> ( D28  * $E$3)</f>
        <v>22087.231582563058</v>
      </c>
      <c r="I29" s="232"/>
      <c r="J29" s="233"/>
      <c r="K29" s="234"/>
      <c r="L29" s="231"/>
      <c r="M29" s="231"/>
      <c r="N29" s="232"/>
      <c r="O29" s="127">
        <f t="shared" si="12"/>
        <v>24524.537482755528</v>
      </c>
      <c r="P29" s="44">
        <f xml:space="preserve"> O29 - '[10]סיכום עלויות חודשי - צמוד 01.18'!O29</f>
        <v>514.68636855157092</v>
      </c>
      <c r="Q29" s="230">
        <f t="shared" si="1"/>
        <v>1544.0591056547128</v>
      </c>
    </row>
    <row r="30" spans="1:17">
      <c r="A30" s="332"/>
      <c r="B30" s="389"/>
      <c r="C30" s="338"/>
      <c r="D30" s="341"/>
      <c r="E30" s="30" t="s">
        <v>67</v>
      </c>
      <c r="F30" s="231">
        <f>'[9]סיכום עלויות חודשי - צמוד 01.18'!F30  *( 1 + $I$3 )</f>
        <v>4713.3218103760128</v>
      </c>
      <c r="G30" s="231">
        <f>'[9]סיכום עלויות חודשי - צמוד 01.18'!G30  *( 1 + $I$3 )</f>
        <v>8255.5542291080801</v>
      </c>
      <c r="H30" s="231">
        <f>'[9]סיכום עלויות חודשי - צמוד 01.18'!H30  *( 1 + $I$3 )</f>
        <v>1718.4841674617551</v>
      </c>
      <c r="I30" s="232"/>
      <c r="J30" s="233">
        <f>'[9]סיכום עלויות חודשי - צמוד 01.18'!J30  *( 1 + $I$3 )</f>
        <v>739.87504369917826</v>
      </c>
      <c r="K30" s="234"/>
      <c r="L30" s="231"/>
      <c r="M30" s="231"/>
      <c r="N30" s="231"/>
      <c r="O30" s="127">
        <f t="shared" si="12"/>
        <v>15427.235250645026</v>
      </c>
      <c r="P30" s="44">
        <f xml:space="preserve"> O30 - '[10]סיכום עלויות חודשי - צמוד 01.18'!O30</f>
        <v>121.76556946757592</v>
      </c>
      <c r="Q30" s="230">
        <f t="shared" si="1"/>
        <v>365.29670840272775</v>
      </c>
    </row>
    <row r="31" spans="1:17">
      <c r="A31" s="332"/>
      <c r="B31" s="389"/>
      <c r="C31" s="338"/>
      <c r="D31" s="341"/>
      <c r="E31" s="30" t="s">
        <v>68</v>
      </c>
      <c r="F31" s="231">
        <f>'[9]סיכום עלויות חודשי - צמוד 01.18'!F31 * ( 1 + $L$3)</f>
        <v>9508.9911395384988</v>
      </c>
      <c r="G31" s="231">
        <f>'[9]סיכום עלויות חודשי - צמוד 01.18'!G31 * ( 1 + $L$3)</f>
        <v>16655.343126317472</v>
      </c>
      <c r="H31" s="231">
        <f>'[9]סיכום עלויות חודשי - צמוד 01.18'!H31 * ( 1 + $L$3)</f>
        <v>3466.9923631901124</v>
      </c>
      <c r="I31" s="232"/>
      <c r="J31" s="233">
        <f>'[9]סיכום עלויות חודשי - צמוד 01.18'!J31 * ( 1 + $L$3)</f>
        <v>1492.6766127899682</v>
      </c>
      <c r="K31" s="234"/>
      <c r="L31" s="231"/>
      <c r="M31" s="231"/>
      <c r="N31" s="231"/>
      <c r="O31" s="127">
        <f t="shared" si="12"/>
        <v>31124.00324183605</v>
      </c>
      <c r="P31" s="44">
        <f xml:space="preserve"> O31 - '[10]סיכום עלויות חודשי - צמוד 01.18'!O31</f>
        <v>1034.4993680341977</v>
      </c>
      <c r="Q31" s="230">
        <f t="shared" si="1"/>
        <v>3103.4981041025931</v>
      </c>
    </row>
    <row r="32" spans="1:17">
      <c r="A32" s="333"/>
      <c r="B32" s="390"/>
      <c r="C32" s="339"/>
      <c r="D32" s="342"/>
      <c r="E32" s="129" t="s">
        <v>33</v>
      </c>
      <c r="F32" s="235">
        <f>SUM(F28:F31)</f>
        <v>14222.312949914511</v>
      </c>
      <c r="G32" s="235">
        <f t="shared" ref="G32:H32" si="13">SUM(G28:G31)</f>
        <v>27348.203255618024</v>
      </c>
      <c r="H32" s="235">
        <f t="shared" si="13"/>
        <v>27272.708113214925</v>
      </c>
      <c r="I32" s="236"/>
      <c r="J32" s="237">
        <f t="shared" ref="J32" si="14">SUM(J28:J31)</f>
        <v>2232.5516564891464</v>
      </c>
      <c r="K32" s="238"/>
      <c r="L32" s="235">
        <f t="shared" ref="L32:M32" si="15">SUM(L28:L31)</f>
        <v>7709.570627066204</v>
      </c>
      <c r="M32" s="235">
        <f t="shared" si="15"/>
        <v>2369.6363532518199</v>
      </c>
      <c r="N32" s="235"/>
      <c r="O32" s="131">
        <f>SUM(F32:N32)</f>
        <v>81154.982955554631</v>
      </c>
      <c r="P32" s="44">
        <f xml:space="preserve"> O32 - '[10]סיכום עלויות חודשי - צמוד 01.18'!O32</f>
        <v>1670.95130605335</v>
      </c>
      <c r="Q32" s="230">
        <f t="shared" si="1"/>
        <v>5012.8539181600499</v>
      </c>
    </row>
    <row r="33" spans="1:17">
      <c r="A33" s="331" t="s">
        <v>5</v>
      </c>
      <c r="B33" s="388">
        <v>231</v>
      </c>
      <c r="C33" s="337">
        <f>B33/$B$43</f>
        <v>8.4574119879970659E-3</v>
      </c>
      <c r="D33" s="340">
        <f>'[9]סיכום עלויות חודשי - צמוד 01.18'!D33:D37</f>
        <v>0</v>
      </c>
      <c r="E33" s="30" t="s">
        <v>69</v>
      </c>
      <c r="F33" s="231"/>
      <c r="G33" s="231"/>
      <c r="H33" s="231"/>
      <c r="I33" s="232"/>
      <c r="J33" s="233"/>
      <c r="K33" s="234"/>
      <c r="L33" s="231">
        <f xml:space="preserve"> '[9]סיכום עלויות חודשי - צמוד 01.18'!L33</f>
        <v>393.91966707637539</v>
      </c>
      <c r="M33" s="231">
        <f xml:space="preserve"> '[9]סיכום עלויות חודשי - צמוד 01.18'!M33</f>
        <v>121.07631002016599</v>
      </c>
      <c r="N33" s="231"/>
      <c r="O33" s="127">
        <f t="shared" ref="O33:O36" si="16">SUM(F33:N33)</f>
        <v>514.99597709654142</v>
      </c>
      <c r="P33" s="44">
        <f xml:space="preserve"> O33 - '[10]סיכום עלויות חודשי - צמוד 01.18'!O33</f>
        <v>0</v>
      </c>
      <c r="Q33" s="230">
        <f t="shared" si="1"/>
        <v>0</v>
      </c>
    </row>
    <row r="34" spans="1:17">
      <c r="A34" s="332"/>
      <c r="B34" s="389"/>
      <c r="C34" s="338"/>
      <c r="D34" s="341"/>
      <c r="E34" s="30" t="s">
        <v>66</v>
      </c>
      <c r="F34" s="231"/>
      <c r="G34" s="231">
        <f xml:space="preserve"> ( $D$12 * $C$33  * $E$3)</f>
        <v>124.53387811202413</v>
      </c>
      <c r="H34" s="231"/>
      <c r="I34" s="232"/>
      <c r="J34" s="233"/>
      <c r="K34" s="234"/>
      <c r="L34" s="231"/>
      <c r="M34" s="231"/>
      <c r="N34" s="232"/>
      <c r="O34" s="127">
        <f t="shared" si="16"/>
        <v>124.53387811202413</v>
      </c>
      <c r="P34" s="44">
        <f xml:space="preserve"> O34 - '[10]סיכום עלויות חודשי - צמוד 01.18'!O34</f>
        <v>2.6135412148828721</v>
      </c>
      <c r="Q34" s="230">
        <f t="shared" si="1"/>
        <v>7.8406236446486162</v>
      </c>
    </row>
    <row r="35" spans="1:17">
      <c r="A35" s="332"/>
      <c r="B35" s="389"/>
      <c r="C35" s="338"/>
      <c r="D35" s="341"/>
      <c r="E35" s="30" t="s">
        <v>67</v>
      </c>
      <c r="F35" s="231">
        <f>'[9]סיכום עלויות חודשי - צמוד 01.18'!F35  *( 1 + $I$3 )</f>
        <v>240.82666184402979</v>
      </c>
      <c r="G35" s="231">
        <f>'[9]סיכום עלויות חודשי - צמוד 01.18'!G35  *( 1 + $I$3 )</f>
        <v>421.81663944347844</v>
      </c>
      <c r="H35" s="231"/>
      <c r="I35" s="232"/>
      <c r="J35" s="233">
        <f>'[9]סיכום עלויות חודשי - צמוד 01.18'!J35  *( 1 + $I$3 )</f>
        <v>37.803834349593039</v>
      </c>
      <c r="K35" s="234"/>
      <c r="L35" s="231"/>
      <c r="M35" s="231"/>
      <c r="N35" s="231"/>
      <c r="O35" s="127">
        <f t="shared" si="16"/>
        <v>700.44713563710116</v>
      </c>
      <c r="P35" s="44">
        <f xml:space="preserve"> O35 - '[10]סיכום עלויות חודשי - צמוד 01.18'!O35</f>
        <v>5.5285566705294968</v>
      </c>
      <c r="Q35" s="230">
        <f t="shared" si="1"/>
        <v>16.585670011588491</v>
      </c>
    </row>
    <row r="36" spans="1:17">
      <c r="A36" s="332"/>
      <c r="B36" s="389"/>
      <c r="C36" s="338"/>
      <c r="D36" s="341"/>
      <c r="E36" s="30" t="s">
        <v>68</v>
      </c>
      <c r="F36" s="231">
        <f>'[9]סיכום עלויות חודשי - צמוד 01.18'!F36 * ( 1 + $L$3)</f>
        <v>485.86086114430299</v>
      </c>
      <c r="G36" s="231">
        <f>'[9]סיכום עלויות חודשי - צמוד 01.18'!G36 * ( 1 + $L$3)</f>
        <v>851.00293346147657</v>
      </c>
      <c r="H36" s="231"/>
      <c r="I36" s="232"/>
      <c r="J36" s="233">
        <f>'[9]סיכום עלויות חודשי - צמוד 01.18'!J36 * ( 1 + $L$3)</f>
        <v>76.268148098757507</v>
      </c>
      <c r="K36" s="234"/>
      <c r="L36" s="231"/>
      <c r="M36" s="231"/>
      <c r="N36" s="231"/>
      <c r="O36" s="127">
        <f t="shared" si="16"/>
        <v>1413.1319427045371</v>
      </c>
      <c r="P36" s="44">
        <f xml:space="preserve"> O36 - '[10]סיכום עלויות חודשי - צמוד 01.18'!O36</f>
        <v>46.969668082792396</v>
      </c>
      <c r="Q36" s="230">
        <f t="shared" si="1"/>
        <v>140.90900424837719</v>
      </c>
    </row>
    <row r="37" spans="1:17">
      <c r="A37" s="333"/>
      <c r="B37" s="390"/>
      <c r="C37" s="339"/>
      <c r="D37" s="342"/>
      <c r="E37" s="129" t="s">
        <v>33</v>
      </c>
      <c r="F37" s="235">
        <f>SUM(F33:F36)</f>
        <v>726.68752298833283</v>
      </c>
      <c r="G37" s="235">
        <f t="shared" ref="G37" si="17">SUM(G33:G36)</f>
        <v>1397.3534510169793</v>
      </c>
      <c r="H37" s="235"/>
      <c r="I37" s="236"/>
      <c r="J37" s="237">
        <f t="shared" ref="J37" si="18">SUM(J33:J36)</f>
        <v>114.07198244835055</v>
      </c>
      <c r="K37" s="238"/>
      <c r="L37" s="235">
        <f t="shared" ref="L37:M37" si="19">SUM(L33:L36)</f>
        <v>393.91966707637539</v>
      </c>
      <c r="M37" s="235">
        <f t="shared" si="19"/>
        <v>121.07631002016599</v>
      </c>
      <c r="N37" s="235"/>
      <c r="O37" s="131">
        <f>SUM(F37:N37)</f>
        <v>2753.1089335502038</v>
      </c>
      <c r="P37" s="44">
        <f xml:space="preserve"> O37 - '[10]סיכום עלויות חודשי - צמוד 01.18'!O37</f>
        <v>55.111765968204054</v>
      </c>
      <c r="Q37" s="230">
        <f t="shared" si="1"/>
        <v>165.33529790461216</v>
      </c>
    </row>
    <row r="38" spans="1:17">
      <c r="A38" s="331" t="s">
        <v>26</v>
      </c>
      <c r="B38" s="388">
        <v>893.64</v>
      </c>
      <c r="C38" s="337">
        <f>B38/$B$43</f>
        <v>3.2718102376422933E-2</v>
      </c>
      <c r="D38" s="340">
        <f>'[9]סיכום עלויות חודשי - צמוד 01.18'!D38:D42</f>
        <v>161.25</v>
      </c>
      <c r="E38" s="30" t="s">
        <v>69</v>
      </c>
      <c r="F38" s="231"/>
      <c r="G38" s="231"/>
      <c r="H38" s="231"/>
      <c r="I38" s="232"/>
      <c r="J38" s="233"/>
      <c r="K38" s="234"/>
      <c r="L38" s="231">
        <f xml:space="preserve"> '[9]סיכום עלויות חודשי - צמוד 01.18'!L38</f>
        <v>1523.9063692040352</v>
      </c>
      <c r="M38" s="231">
        <f xml:space="preserve"> '[9]סיכום עלויות חודשי - צמוד 01.18'!M38</f>
        <v>468.39235362087067</v>
      </c>
      <c r="N38" s="231"/>
      <c r="O38" s="127">
        <f t="shared" ref="O38:O41" si="20">SUM(F38:N38)</f>
        <v>1992.2987228249058</v>
      </c>
      <c r="P38" s="44">
        <f xml:space="preserve"> O38 - '[10]סיכום עלויות חודשי - צמוד 01.18'!O38</f>
        <v>0</v>
      </c>
      <c r="Q38" s="230">
        <f t="shared" si="1"/>
        <v>0</v>
      </c>
    </row>
    <row r="39" spans="1:17">
      <c r="A39" s="332"/>
      <c r="B39" s="389"/>
      <c r="C39" s="338"/>
      <c r="D39" s="341"/>
      <c r="E39" s="30" t="s">
        <v>66</v>
      </c>
      <c r="F39" s="231"/>
      <c r="G39" s="231">
        <f xml:space="preserve"> ( $D$12 * $C$38  * $E$3)</f>
        <v>481.76820275337337</v>
      </c>
      <c r="H39" s="231">
        <f xml:space="preserve"> ( D38  * $E$3)</f>
        <v>6902.259869550955</v>
      </c>
      <c r="I39" s="232"/>
      <c r="J39" s="233"/>
      <c r="K39" s="234"/>
      <c r="L39" s="231"/>
      <c r="M39" s="231"/>
      <c r="N39" s="232"/>
      <c r="O39" s="127">
        <f t="shared" si="20"/>
        <v>7384.0280723043288</v>
      </c>
      <c r="P39" s="44">
        <f xml:space="preserve"> O39 - '[10]סיכום עלויות חודשי - צמוד 01.18'!O39</f>
        <v>154.96555629191698</v>
      </c>
      <c r="Q39" s="230">
        <f t="shared" si="1"/>
        <v>464.89666887575095</v>
      </c>
    </row>
    <row r="40" spans="1:17">
      <c r="A40" s="332"/>
      <c r="B40" s="389"/>
      <c r="C40" s="338"/>
      <c r="D40" s="341"/>
      <c r="E40" s="30" t="s">
        <v>67</v>
      </c>
      <c r="F40" s="231">
        <f>'[9]סיכום עלויות חודשי - צמוד 01.18'!F40  *( 1 + $I$3 )</f>
        <v>931.65514324804656</v>
      </c>
      <c r="G40" s="231">
        <f>'[9]סיכום עלויות חודשי - צמוד 01.18'!G40  *( 1 + $I$3 )</f>
        <v>1631.8277994470566</v>
      </c>
      <c r="H40" s="231">
        <f>'[9]סיכום עלויות חודשי - צמוד 01.18'!H40  *( 1 + $I$3 )</f>
        <v>790.45881459657028</v>
      </c>
      <c r="I40" s="232"/>
      <c r="J40" s="233">
        <f>'[9]סיכום עלויות חודשי - צמוד 01.18'!J40  *( 1 + $I$3 )</f>
        <v>146.24683345528277</v>
      </c>
      <c r="K40" s="234"/>
      <c r="L40" s="231"/>
      <c r="M40" s="231"/>
      <c r="N40" s="231"/>
      <c r="O40" s="127">
        <f t="shared" si="20"/>
        <v>3500.1885907469564</v>
      </c>
      <c r="P40" s="44">
        <f xml:space="preserve"> O40 - '[10]סיכום עלויות חודשי - צמוד 01.18'!O40</f>
        <v>27.626625903587865</v>
      </c>
      <c r="Q40" s="230">
        <f t="shared" si="1"/>
        <v>82.879877710763594</v>
      </c>
    </row>
    <row r="41" spans="1:17">
      <c r="A41" s="332"/>
      <c r="B41" s="389"/>
      <c r="C41" s="338"/>
      <c r="D41" s="341"/>
      <c r="E41" s="30" t="s">
        <v>68</v>
      </c>
      <c r="F41" s="231">
        <f>'[9]סיכום עלויות חודשי - צמוד 01.18'!F41 * ( 1 + $L$3)</f>
        <v>1879.5874456839604</v>
      </c>
      <c r="G41" s="231">
        <f>'[9]סיכום עלויות חודשי - צמוד 01.18'!G41 * ( 1 + $L$3)</f>
        <v>3292.1656340195404</v>
      </c>
      <c r="H41" s="231">
        <f>'[9]סיכום עלויות חודשי - צמוד 01.18'!H41 * ( 1 + $L$3)</f>
        <v>1594.7279151663222</v>
      </c>
      <c r="I41" s="232"/>
      <c r="J41" s="233">
        <f>'[9]סיכום עלויות חודשי - צמוד 01.18'!J41 * ( 1 + $L$3)</f>
        <v>295.04877864490749</v>
      </c>
      <c r="K41" s="234"/>
      <c r="L41" s="231"/>
      <c r="M41" s="231"/>
      <c r="N41" s="231"/>
      <c r="O41" s="127">
        <f t="shared" si="20"/>
        <v>7061.5297735147306</v>
      </c>
      <c r="P41" s="44">
        <f xml:space="preserve"> O41 - '[10]סיכום עלויות חודשי - צמוד 01.18'!O41</f>
        <v>234.71106950137801</v>
      </c>
      <c r="Q41" s="230">
        <f t="shared" si="1"/>
        <v>704.13320850413402</v>
      </c>
    </row>
    <row r="42" spans="1:17">
      <c r="A42" s="333"/>
      <c r="B42" s="390"/>
      <c r="C42" s="339"/>
      <c r="D42" s="342"/>
      <c r="E42" s="129" t="s">
        <v>33</v>
      </c>
      <c r="F42" s="235">
        <f>SUM(F38:F41)</f>
        <v>2811.242588932007</v>
      </c>
      <c r="G42" s="235">
        <f t="shared" ref="G42:H42" si="21">SUM(G38:G41)</f>
        <v>5405.7616362199706</v>
      </c>
      <c r="H42" s="235">
        <f t="shared" si="21"/>
        <v>9287.4465993138474</v>
      </c>
      <c r="I42" s="236"/>
      <c r="J42" s="237">
        <f t="shared" ref="J42" si="22">SUM(J38:J41)</f>
        <v>441.29561210019028</v>
      </c>
      <c r="K42" s="238"/>
      <c r="L42" s="235">
        <f t="shared" ref="L42:M42" si="23">SUM(L38:L41)</f>
        <v>1523.9063692040352</v>
      </c>
      <c r="M42" s="235">
        <f t="shared" si="23"/>
        <v>468.39235362087067</v>
      </c>
      <c r="N42" s="235"/>
      <c r="O42" s="131">
        <f>SUM(F42:N42)</f>
        <v>19938.045159390924</v>
      </c>
      <c r="P42" s="44">
        <f xml:space="preserve"> O42 - '[10]סיכום עלויות חודשי - צמוד 01.18'!O42</f>
        <v>417.30325169688149</v>
      </c>
      <c r="Q42" s="230">
        <f t="shared" si="1"/>
        <v>1251.9097550906445</v>
      </c>
    </row>
    <row r="43" spans="1:17">
      <c r="A43" s="319" t="s">
        <v>6</v>
      </c>
      <c r="B43" s="397">
        <f>SUM(B13:B38)</f>
        <v>27313.32</v>
      </c>
      <c r="C43" s="325">
        <f>SUM(C13:C38)</f>
        <v>1</v>
      </c>
      <c r="D43" s="328">
        <f>SUM(D12:D42)</f>
        <v>6108.6875</v>
      </c>
      <c r="E43" s="84" t="s">
        <v>69</v>
      </c>
      <c r="F43" s="226">
        <f xml:space="preserve"> F13 + F18 + F23 + F28 + F33 + F38</f>
        <v>0</v>
      </c>
      <c r="G43" s="226">
        <f t="shared" ref="G43:O43" si="24" xml:space="preserve"> G13 + G18 + G23 + G28 + G33 + G38</f>
        <v>0</v>
      </c>
      <c r="H43" s="226">
        <f t="shared" si="24"/>
        <v>0</v>
      </c>
      <c r="I43" s="227"/>
      <c r="J43" s="228">
        <f t="shared" si="24"/>
        <v>0</v>
      </c>
      <c r="K43" s="229"/>
      <c r="L43" s="226">
        <f t="shared" si="24"/>
        <v>46576.856801517337</v>
      </c>
      <c r="M43" s="226">
        <f t="shared" si="24"/>
        <v>19104.385320000001</v>
      </c>
      <c r="N43" s="226">
        <f t="shared" si="24"/>
        <v>8783.84</v>
      </c>
      <c r="O43" s="126">
        <f t="shared" si="24"/>
        <v>74465.082121517335</v>
      </c>
      <c r="P43" s="44">
        <f xml:space="preserve"> O43 - '[10]סיכום עלויות חודשי - צמוד 01.18'!O43</f>
        <v>0</v>
      </c>
      <c r="Q43" s="230">
        <f t="shared" si="1"/>
        <v>0</v>
      </c>
    </row>
    <row r="44" spans="1:17">
      <c r="A44" s="320"/>
      <c r="B44" s="398"/>
      <c r="C44" s="326"/>
      <c r="D44" s="329"/>
      <c r="E44" s="84" t="s">
        <v>66</v>
      </c>
      <c r="F44" s="226">
        <f t="shared" ref="F44:O46" si="25" xml:space="preserve"> F14 + F19 + F24 + F29 + F34 + F39</f>
        <v>0</v>
      </c>
      <c r="G44" s="226">
        <f t="shared" si="25"/>
        <v>14724.821055042039</v>
      </c>
      <c r="H44" s="226">
        <f t="shared" si="25"/>
        <v>246755.79033644666</v>
      </c>
      <c r="I44" s="227"/>
      <c r="J44" s="228">
        <f t="shared" si="25"/>
        <v>0</v>
      </c>
      <c r="K44" s="229"/>
      <c r="L44" s="226">
        <f t="shared" si="25"/>
        <v>0</v>
      </c>
      <c r="M44" s="226">
        <f t="shared" si="25"/>
        <v>0</v>
      </c>
      <c r="N44" s="226">
        <f t="shared" si="25"/>
        <v>0</v>
      </c>
      <c r="O44" s="126">
        <f t="shared" si="25"/>
        <v>261480.61139148867</v>
      </c>
      <c r="P44" s="44">
        <f xml:space="preserve"> O44 - '[10]סיכום עלויות חודשי - צמוד 01.18'!O44</f>
        <v>5487.5859093514155</v>
      </c>
      <c r="Q44" s="230">
        <f t="shared" si="1"/>
        <v>16462.757728054246</v>
      </c>
    </row>
    <row r="45" spans="1:17">
      <c r="A45" s="320"/>
      <c r="B45" s="398"/>
      <c r="C45" s="326"/>
      <c r="D45" s="329"/>
      <c r="E45" s="84" t="s">
        <v>67</v>
      </c>
      <c r="F45" s="226">
        <f t="shared" si="25"/>
        <v>28475.219391678682</v>
      </c>
      <c r="G45" s="226">
        <f t="shared" si="25"/>
        <v>49875.380322269928</v>
      </c>
      <c r="H45" s="226">
        <f t="shared" si="25"/>
        <v>16554.320693907444</v>
      </c>
      <c r="I45" s="227"/>
      <c r="J45" s="228">
        <f t="shared" si="25"/>
        <v>4469.9057351403753</v>
      </c>
      <c r="K45" s="229"/>
      <c r="L45" s="226">
        <f t="shared" si="25"/>
        <v>0</v>
      </c>
      <c r="M45" s="226">
        <f t="shared" si="25"/>
        <v>0</v>
      </c>
      <c r="N45" s="226">
        <f t="shared" si="25"/>
        <v>0</v>
      </c>
      <c r="O45" s="126">
        <f t="shared" si="25"/>
        <v>99374.826142996433</v>
      </c>
      <c r="P45" s="44">
        <f xml:space="preserve"> O45 - '[10]סיכום עלויות חודשי - צמוד 01.18'!O45</f>
        <v>784.35520684352377</v>
      </c>
      <c r="Q45" s="230">
        <f t="shared" si="1"/>
        <v>2353.0656205305713</v>
      </c>
    </row>
    <row r="46" spans="1:17">
      <c r="A46" s="320"/>
      <c r="B46" s="398"/>
      <c r="C46" s="326"/>
      <c r="D46" s="329"/>
      <c r="E46" s="84" t="s">
        <v>68</v>
      </c>
      <c r="F46" s="226">
        <f t="shared" si="25"/>
        <v>57447.935826449837</v>
      </c>
      <c r="G46" s="226">
        <f t="shared" si="25"/>
        <v>100622.14477303906</v>
      </c>
      <c r="H46" s="226">
        <f t="shared" si="25"/>
        <v>33397.865694828659</v>
      </c>
      <c r="I46" s="227"/>
      <c r="J46" s="228">
        <f t="shared" si="25"/>
        <v>9017.90621137989</v>
      </c>
      <c r="K46" s="229"/>
      <c r="L46" s="226">
        <f t="shared" si="25"/>
        <v>0</v>
      </c>
      <c r="M46" s="226">
        <f t="shared" si="25"/>
        <v>0</v>
      </c>
      <c r="N46" s="226">
        <f t="shared" si="25"/>
        <v>0</v>
      </c>
      <c r="O46" s="126">
        <f t="shared" si="25"/>
        <v>200485.85250569737</v>
      </c>
      <c r="P46" s="44">
        <f xml:space="preserve"> O46 - '[10]סיכום עלויות חודשי - צמוד 01.18'!O46</f>
        <v>6663.7471441384114</v>
      </c>
      <c r="Q46" s="230">
        <f t="shared" si="1"/>
        <v>19991.241432415234</v>
      </c>
    </row>
    <row r="47" spans="1:17">
      <c r="A47" s="321"/>
      <c r="B47" s="399"/>
      <c r="C47" s="327"/>
      <c r="D47" s="330"/>
      <c r="E47" s="84" t="s">
        <v>33</v>
      </c>
      <c r="F47" s="226">
        <f>SUM(F43:F46)</f>
        <v>85923.155218128522</v>
      </c>
      <c r="G47" s="226">
        <f t="shared" ref="G47:O47" si="26">SUM(G43:G46)</f>
        <v>165222.34615035105</v>
      </c>
      <c r="H47" s="226">
        <f t="shared" si="26"/>
        <v>296707.97672518279</v>
      </c>
      <c r="I47" s="227"/>
      <c r="J47" s="228">
        <f t="shared" si="26"/>
        <v>13487.811946520265</v>
      </c>
      <c r="K47" s="229"/>
      <c r="L47" s="226">
        <f t="shared" si="26"/>
        <v>46576.856801517337</v>
      </c>
      <c r="M47" s="226">
        <f t="shared" si="26"/>
        <v>19104.385320000001</v>
      </c>
      <c r="N47" s="226">
        <f t="shared" si="26"/>
        <v>8783.84</v>
      </c>
      <c r="O47" s="126">
        <f t="shared" si="26"/>
        <v>635806.37216169981</v>
      </c>
      <c r="P47" s="44">
        <f xml:space="preserve"> O47 - '[10]סיכום עלויות חודשי - צמוד 01.18'!O47</f>
        <v>12935.688260333263</v>
      </c>
      <c r="Q47" s="230">
        <f t="shared" si="1"/>
        <v>38807.06478099979</v>
      </c>
    </row>
    <row r="48" spans="1:17" ht="15">
      <c r="A48" s="87" t="s">
        <v>36</v>
      </c>
      <c r="B48" s="88" t="s">
        <v>21</v>
      </c>
      <c r="C48" s="9" t="s">
        <v>230</v>
      </c>
      <c r="D48" s="83">
        <f>'[9]סיכום עלויות חודשי - צמוד 01.18'!D48</f>
        <v>1300.75</v>
      </c>
      <c r="E48" s="30"/>
      <c r="F48" s="231"/>
      <c r="G48" s="231"/>
      <c r="H48" s="231"/>
      <c r="I48" s="232"/>
      <c r="J48" s="233"/>
      <c r="K48" s="234"/>
      <c r="L48" s="231"/>
      <c r="M48" s="231"/>
      <c r="N48" s="231"/>
      <c r="O48" s="127">
        <f t="shared" ref="O48" si="27">SUM(F48:N48)</f>
        <v>0</v>
      </c>
      <c r="P48" s="44">
        <f xml:space="preserve"> O48 - '[10]סיכום עלויות חודשי - צמוד 01.18'!O48</f>
        <v>0</v>
      </c>
      <c r="Q48" s="230">
        <f t="shared" si="1"/>
        <v>0</v>
      </c>
    </row>
    <row r="49" spans="1:17">
      <c r="A49" s="331" t="s">
        <v>7</v>
      </c>
      <c r="B49" s="388">
        <v>250</v>
      </c>
      <c r="C49" s="337">
        <f>B49/$B$69</f>
        <v>8.6595081399376522E-2</v>
      </c>
      <c r="D49" s="340">
        <f xml:space="preserve"> $D$48 * C49</f>
        <v>112.63855213023901</v>
      </c>
      <c r="E49" s="30" t="s">
        <v>69</v>
      </c>
      <c r="F49" s="231"/>
      <c r="G49" s="231"/>
      <c r="H49" s="231"/>
      <c r="I49" s="232"/>
      <c r="J49" s="233"/>
      <c r="K49" s="234"/>
      <c r="L49" s="231">
        <f xml:space="preserve"> '[9]סיכום עלויות חודשי - צמוד 01.18'!L49</f>
        <v>426.31998601339325</v>
      </c>
      <c r="M49" s="231">
        <f xml:space="preserve"> '[9]סיכום עלויות חודשי - צמוד 01.18'!M49</f>
        <v>426.15274089019744</v>
      </c>
      <c r="N49" s="231"/>
      <c r="O49" s="127">
        <f t="shared" ref="O49:O52" si="28">SUM(F49:N49)</f>
        <v>852.47272690359068</v>
      </c>
      <c r="P49" s="44">
        <f xml:space="preserve"> O49 - '[10]סיכום עלויות חודשי - צמוד 01.18'!O49</f>
        <v>0</v>
      </c>
      <c r="Q49" s="230">
        <f t="shared" si="1"/>
        <v>0</v>
      </c>
    </row>
    <row r="50" spans="1:17">
      <c r="A50" s="332"/>
      <c r="B50" s="389"/>
      <c r="C50" s="338"/>
      <c r="D50" s="341"/>
      <c r="E50" s="30" t="s">
        <v>66</v>
      </c>
      <c r="F50" s="231"/>
      <c r="G50" s="231"/>
      <c r="H50" s="231"/>
      <c r="I50" s="232">
        <f xml:space="preserve"> ( $D$49 * $E$3)</f>
        <v>4821.4608256302135</v>
      </c>
      <c r="J50" s="233"/>
      <c r="K50" s="234"/>
      <c r="L50" s="231"/>
      <c r="M50" s="231"/>
      <c r="N50" s="231"/>
      <c r="O50" s="127">
        <f t="shared" si="28"/>
        <v>4821.4608256302135</v>
      </c>
      <c r="P50" s="44">
        <f xml:space="preserve"> O50 - '[10]סיכום עלויות חודשי - צמוד 01.18'!O50</f>
        <v>101.18601279237828</v>
      </c>
      <c r="Q50" s="230">
        <f t="shared" si="1"/>
        <v>303.55803837713484</v>
      </c>
    </row>
    <row r="51" spans="1:17">
      <c r="A51" s="332"/>
      <c r="B51" s="389"/>
      <c r="C51" s="338"/>
      <c r="D51" s="341"/>
      <c r="E51" s="30" t="s">
        <v>67</v>
      </c>
      <c r="F51" s="231">
        <f>'[9]סיכום עלויות חודשי - צמוד 01.18'!F51  *( 1 + $I$3 )</f>
        <v>260.63491541561672</v>
      </c>
      <c r="G51" s="231"/>
      <c r="H51" s="231"/>
      <c r="I51" s="232">
        <f>'[9]סיכום עלויות חודשי - צמוד 01.18'!I51  *( 1 + $I$3 )</f>
        <v>887.7914326390013</v>
      </c>
      <c r="J51" s="233"/>
      <c r="K51" s="234">
        <f>'[9]סיכום עלויות חודשי - צמוד 01.18'!K51  *( 1 + $I$3 )</f>
        <v>297.555669211848</v>
      </c>
      <c r="L51" s="231"/>
      <c r="M51" s="231"/>
      <c r="N51" s="231"/>
      <c r="O51" s="127">
        <f t="shared" si="28"/>
        <v>1445.9820172664661</v>
      </c>
      <c r="P51" s="44">
        <f xml:space="preserve"> O51 - '[10]סיכום עלויות חודשי - צמוד 01.18'!O51</f>
        <v>11.412986248780953</v>
      </c>
      <c r="Q51" s="230">
        <f t="shared" si="1"/>
        <v>34.23895874634286</v>
      </c>
    </row>
    <row r="52" spans="1:17">
      <c r="A52" s="332"/>
      <c r="B52" s="389"/>
      <c r="C52" s="338"/>
      <c r="D52" s="341"/>
      <c r="E52" s="30" t="s">
        <v>68</v>
      </c>
      <c r="F52" s="231">
        <f>'[9]סיכום עלויות חודשי - צמוד 01.18'!F52 * ( 1 + $L$3)</f>
        <v>525.8234427968647</v>
      </c>
      <c r="G52" s="231"/>
      <c r="H52" s="231"/>
      <c r="I52" s="232">
        <f>'[9]סיכום עלויות חודשי - צמוד 01.18'!I52 * ( 1 + $L$3)</f>
        <v>1791.0936715880605</v>
      </c>
      <c r="J52" s="233"/>
      <c r="K52" s="234">
        <f>'[9]סיכום עלויות חודשי - צמוד 01.18'!K52 * ( 1 + $L$3)</f>
        <v>600.31000128743324</v>
      </c>
      <c r="L52" s="231"/>
      <c r="M52" s="231"/>
      <c r="N52" s="231"/>
      <c r="O52" s="127">
        <f t="shared" si="28"/>
        <v>2917.2271156723587</v>
      </c>
      <c r="P52" s="44">
        <f xml:space="preserve"> O52 - '[10]סיכום עלויות חודשי - צמוד 01.18'!O52</f>
        <v>96.962771277403135</v>
      </c>
      <c r="Q52" s="230">
        <f t="shared" si="1"/>
        <v>290.88831383220941</v>
      </c>
    </row>
    <row r="53" spans="1:17">
      <c r="A53" s="333"/>
      <c r="B53" s="390"/>
      <c r="C53" s="339"/>
      <c r="D53" s="342"/>
      <c r="E53" s="129" t="s">
        <v>33</v>
      </c>
      <c r="F53" s="235">
        <f>SUM(F49:F52)</f>
        <v>786.45835821248147</v>
      </c>
      <c r="G53" s="235"/>
      <c r="H53" s="235"/>
      <c r="I53" s="236">
        <f t="shared" ref="I53:M53" si="29">SUM(I49:I52)</f>
        <v>7500.3459298572752</v>
      </c>
      <c r="J53" s="237"/>
      <c r="K53" s="238">
        <f t="shared" si="29"/>
        <v>897.86567049928124</v>
      </c>
      <c r="L53" s="235">
        <f t="shared" si="29"/>
        <v>426.31998601339325</v>
      </c>
      <c r="M53" s="235">
        <f t="shared" si="29"/>
        <v>426.15274089019744</v>
      </c>
      <c r="N53" s="235"/>
      <c r="O53" s="131">
        <f>SUM(F53:N53)</f>
        <v>10037.142685472629</v>
      </c>
      <c r="P53" s="44">
        <f xml:space="preserve"> O53 - '[10]סיכום עלויות חודשי - צמוד 01.18'!O53</f>
        <v>209.5617703185635</v>
      </c>
      <c r="Q53" s="230">
        <f t="shared" si="1"/>
        <v>628.68531095569051</v>
      </c>
    </row>
    <row r="54" spans="1:17">
      <c r="A54" s="331" t="s">
        <v>8</v>
      </c>
      <c r="B54" s="388">
        <v>255</v>
      </c>
      <c r="C54" s="337">
        <f>B54/$B$69</f>
        <v>8.8326983027364039E-2</v>
      </c>
      <c r="D54" s="340">
        <f t="shared" ref="D54" si="30" xml:space="preserve"> $D$48 * C54</f>
        <v>114.89132317284377</v>
      </c>
      <c r="E54" s="30" t="s">
        <v>69</v>
      </c>
      <c r="F54" s="231"/>
      <c r="G54" s="231"/>
      <c r="H54" s="231"/>
      <c r="I54" s="232"/>
      <c r="J54" s="233"/>
      <c r="K54" s="234"/>
      <c r="L54" s="231">
        <f xml:space="preserve"> '[9]סיכום עלויות חודשי - צמוד 01.18'!L54</f>
        <v>434.84638573366107</v>
      </c>
      <c r="M54" s="231">
        <f xml:space="preserve"> '[9]סיכום עלויות חודשי - צמוד 01.18'!M54</f>
        <v>434.67579570800137</v>
      </c>
      <c r="N54" s="231"/>
      <c r="O54" s="127">
        <f t="shared" ref="O54:O57" si="31">SUM(F54:N54)</f>
        <v>869.5221814416625</v>
      </c>
      <c r="P54" s="44">
        <f xml:space="preserve"> O54 - '[10]סיכום עלויות חודשי - צמוד 01.18'!O54</f>
        <v>0</v>
      </c>
      <c r="Q54" s="230">
        <f t="shared" si="1"/>
        <v>0</v>
      </c>
    </row>
    <row r="55" spans="1:17">
      <c r="A55" s="332"/>
      <c r="B55" s="389"/>
      <c r="C55" s="338"/>
      <c r="D55" s="341"/>
      <c r="E55" s="30" t="s">
        <v>66</v>
      </c>
      <c r="F55" s="231"/>
      <c r="G55" s="231"/>
      <c r="H55" s="231"/>
      <c r="I55" s="232">
        <f xml:space="preserve"> ( $D$54 * $E$3)</f>
        <v>4917.890042142817</v>
      </c>
      <c r="J55" s="233"/>
      <c r="K55" s="234"/>
      <c r="L55" s="231"/>
      <c r="M55" s="231"/>
      <c r="N55" s="231"/>
      <c r="O55" s="127">
        <f t="shared" si="31"/>
        <v>4917.890042142817</v>
      </c>
      <c r="P55" s="44">
        <f xml:space="preserve"> O55 - '[10]סיכום עלויות חודשי - צמוד 01.18'!O55</f>
        <v>103.20973304822564</v>
      </c>
      <c r="Q55" s="230">
        <f t="shared" si="1"/>
        <v>309.62919914467693</v>
      </c>
    </row>
    <row r="56" spans="1:17">
      <c r="A56" s="332"/>
      <c r="B56" s="389"/>
      <c r="C56" s="338"/>
      <c r="D56" s="341"/>
      <c r="E56" s="30" t="s">
        <v>67</v>
      </c>
      <c r="F56" s="231">
        <f>'[9]סיכום עלויות חודשי - צמוד 01.18'!F56  *( 1 + $I$3 )</f>
        <v>265.84761372392899</v>
      </c>
      <c r="G56" s="231"/>
      <c r="H56" s="231"/>
      <c r="I56" s="232">
        <f>'[9]סיכום עלויות חודשי - צמוד 01.18'!I56  *( 1 + $I$3 )</f>
        <v>905.5472612917813</v>
      </c>
      <c r="J56" s="233"/>
      <c r="K56" s="234">
        <f>'[9]סיכום עלויות חודשי - צמוד 01.18'!K56  *( 1 + $I$3 )</f>
        <v>303.51844833033198</v>
      </c>
      <c r="L56" s="231"/>
      <c r="M56" s="231"/>
      <c r="N56" s="231"/>
      <c r="O56" s="127">
        <f t="shared" si="31"/>
        <v>1474.9133233460423</v>
      </c>
      <c r="P56" s="44">
        <f xml:space="preserve"> O56 - '[10]סיכום עלויות חודשי - צמוד 01.18'!O56</f>
        <v>11.641338050188551</v>
      </c>
      <c r="Q56" s="230">
        <f t="shared" si="1"/>
        <v>34.924014150565654</v>
      </c>
    </row>
    <row r="57" spans="1:17">
      <c r="A57" s="332"/>
      <c r="B57" s="389"/>
      <c r="C57" s="338"/>
      <c r="D57" s="341"/>
      <c r="E57" s="30" t="s">
        <v>68</v>
      </c>
      <c r="F57" s="231">
        <f>'[9]סיכום עלויות חודשי - צמוד 01.18'!F57 * ( 1 + $L$3)</f>
        <v>536.3399116528019</v>
      </c>
      <c r="G57" s="231"/>
      <c r="H57" s="231"/>
      <c r="I57" s="232">
        <f>'[9]סיכום עלויות חודשי - צמוד 01.18'!I57 * ( 1 + $L$3)</f>
        <v>1826.9155450198216</v>
      </c>
      <c r="J57" s="233"/>
      <c r="K57" s="234">
        <f>'[9]סיכום עלויות חודשי - צמוד 01.18'!K57 * ( 1 + $L$3)</f>
        <v>612.33973659637604</v>
      </c>
      <c r="L57" s="231"/>
      <c r="M57" s="231"/>
      <c r="N57" s="231"/>
      <c r="O57" s="127">
        <f t="shared" si="31"/>
        <v>2975.5951932689995</v>
      </c>
      <c r="P57" s="44">
        <f xml:space="preserve"> O57 - '[10]סיכום עלויות חודשי - צמוד 01.18'!O57</f>
        <v>98.90280896850345</v>
      </c>
      <c r="Q57" s="230">
        <f t="shared" si="1"/>
        <v>296.70842690551035</v>
      </c>
    </row>
    <row r="58" spans="1:17">
      <c r="A58" s="333"/>
      <c r="B58" s="390"/>
      <c r="C58" s="339"/>
      <c r="D58" s="342"/>
      <c r="E58" s="129" t="s">
        <v>33</v>
      </c>
      <c r="F58" s="235">
        <f>SUM(F54:F57)</f>
        <v>802.18752537673095</v>
      </c>
      <c r="G58" s="235"/>
      <c r="H58" s="235"/>
      <c r="I58" s="236">
        <f t="shared" ref="I58" si="32">SUM(I54:I57)</f>
        <v>7650.3528484544195</v>
      </c>
      <c r="J58" s="237"/>
      <c r="K58" s="238">
        <f t="shared" ref="K58:M58" si="33">SUM(K54:K57)</f>
        <v>915.85818492670796</v>
      </c>
      <c r="L58" s="235">
        <f t="shared" si="33"/>
        <v>434.84638573366107</v>
      </c>
      <c r="M58" s="235">
        <f t="shared" si="33"/>
        <v>434.67579570800137</v>
      </c>
      <c r="N58" s="235"/>
      <c r="O58" s="131">
        <f>SUM(F58:N58)</f>
        <v>10237.920740199521</v>
      </c>
      <c r="P58" s="44">
        <f xml:space="preserve"> O58 - '[10]סיכום עלויות חודשי - צמוד 01.18'!O58</f>
        <v>213.75388006691719</v>
      </c>
      <c r="Q58" s="230">
        <f t="shared" si="1"/>
        <v>641.26164020075157</v>
      </c>
    </row>
    <row r="59" spans="1:17">
      <c r="A59" s="331" t="s">
        <v>55</v>
      </c>
      <c r="B59" s="388">
        <v>887</v>
      </c>
      <c r="C59" s="337">
        <f>B59/$B$69</f>
        <v>0.30723934880498788</v>
      </c>
      <c r="D59" s="340">
        <f t="shared" ref="D59" si="34" xml:space="preserve"> $D$48 * C59</f>
        <v>399.64158295808801</v>
      </c>
      <c r="E59" s="30" t="s">
        <v>69</v>
      </c>
      <c r="F59" s="231"/>
      <c r="G59" s="231"/>
      <c r="H59" s="231"/>
      <c r="I59" s="232"/>
      <c r="J59" s="233"/>
      <c r="K59" s="234"/>
      <c r="L59" s="231">
        <f xml:space="preserve"> '[9]סיכום עלויות חודשי - צמוד 01.18'!L59</f>
        <v>1512.5833103755192</v>
      </c>
      <c r="M59" s="231">
        <f xml:space="preserve"> '[9]סיכום עלויות חודשי - צמוד 01.18'!M59</f>
        <v>1412.2160728784206</v>
      </c>
      <c r="N59" s="231"/>
      <c r="O59" s="127">
        <f t="shared" ref="O59:O62" si="35">SUM(F59:N59)</f>
        <v>2924.7993832539396</v>
      </c>
      <c r="P59" s="44">
        <f xml:space="preserve"> O59 - '[10]סיכום עלויות חודשי - צמוד 01.18'!O59</f>
        <v>0</v>
      </c>
      <c r="Q59" s="230">
        <f t="shared" si="1"/>
        <v>0</v>
      </c>
    </row>
    <row r="60" spans="1:17">
      <c r="A60" s="332"/>
      <c r="B60" s="389"/>
      <c r="C60" s="338"/>
      <c r="D60" s="341"/>
      <c r="E60" s="30" t="s">
        <v>66</v>
      </c>
      <c r="F60" s="231"/>
      <c r="G60" s="231"/>
      <c r="H60" s="231"/>
      <c r="I60" s="232">
        <f xml:space="preserve"> ( $D$59 * $E$3)</f>
        <v>17106.543009335997</v>
      </c>
      <c r="J60" s="233"/>
      <c r="K60" s="234"/>
      <c r="L60" s="231"/>
      <c r="M60" s="231"/>
      <c r="N60" s="231"/>
      <c r="O60" s="127">
        <f t="shared" si="35"/>
        <v>17106.543009335997</v>
      </c>
      <c r="P60" s="44">
        <f xml:space="preserve"> O60 - '[10]סיכום עלויות חודשי - צמוד 01.18'!O60</f>
        <v>359.0079733873572</v>
      </c>
      <c r="Q60" s="230">
        <f t="shared" si="1"/>
        <v>1077.0239201620716</v>
      </c>
    </row>
    <row r="61" spans="1:17">
      <c r="A61" s="332"/>
      <c r="B61" s="389"/>
      <c r="C61" s="338"/>
      <c r="D61" s="341"/>
      <c r="E61" s="30" t="s">
        <v>67</v>
      </c>
      <c r="F61" s="231">
        <f>'[9]סיכום עלויות חודשי - צמוד 01.18'!F61  *( 1 + $I$3 )</f>
        <v>924.73267989460783</v>
      </c>
      <c r="G61" s="231"/>
      <c r="H61" s="231"/>
      <c r="I61" s="232">
        <f>'[9]סיכום עלויות חודשי - צמוד 01.18'!I61  *( 1 + $I$3 )</f>
        <v>3149.8840030031774</v>
      </c>
      <c r="J61" s="233"/>
      <c r="K61" s="234">
        <f>'[9]סיכום עלויות חודשי - צמוד 01.18'!K61  *( 1 + $I$3 )</f>
        <v>1055.7146820559649</v>
      </c>
      <c r="L61" s="231"/>
      <c r="M61" s="231"/>
      <c r="N61" s="231"/>
      <c r="O61" s="127">
        <f t="shared" si="35"/>
        <v>5130.3313649537504</v>
      </c>
      <c r="P61" s="44">
        <f xml:space="preserve"> O61 - '[10]סיכום עלויות חודשי - צמוד 01.18'!O61</f>
        <v>40.49317392660123</v>
      </c>
      <c r="Q61" s="230">
        <f t="shared" si="1"/>
        <v>121.47952177980369</v>
      </c>
    </row>
    <row r="62" spans="1:17">
      <c r="A62" s="332"/>
      <c r="B62" s="389"/>
      <c r="C62" s="338"/>
      <c r="D62" s="341"/>
      <c r="E62" s="30" t="s">
        <v>68</v>
      </c>
      <c r="F62" s="231">
        <f>'[9]סיכום עלויות חודשי - צמוד 01.18'!F62 * ( 1 + $L$3)</f>
        <v>1865.6215750432759</v>
      </c>
      <c r="G62" s="231"/>
      <c r="H62" s="231"/>
      <c r="I62" s="232">
        <f>'[9]סיכום עלויות חודשי - צמוד 01.18'!I62 * ( 1 + $L$3)</f>
        <v>6354.80034679444</v>
      </c>
      <c r="J62" s="233"/>
      <c r="K62" s="234">
        <f>'[9]סיכום עלויות חודשי - צמוד 01.18'!K62 * ( 1 + $L$3)</f>
        <v>2129.8739957562998</v>
      </c>
      <c r="L62" s="231"/>
      <c r="M62" s="231"/>
      <c r="N62" s="231"/>
      <c r="O62" s="127">
        <f t="shared" si="35"/>
        <v>10350.295917594016</v>
      </c>
      <c r="P62" s="44">
        <f xml:space="preserve"> O62 - '[10]סיכום עלויות חודשי - צמוד 01.18'!O62</f>
        <v>344.0230520001187</v>
      </c>
      <c r="Q62" s="230">
        <f t="shared" si="1"/>
        <v>1032.0691560003561</v>
      </c>
    </row>
    <row r="63" spans="1:17">
      <c r="A63" s="333"/>
      <c r="B63" s="390"/>
      <c r="C63" s="339"/>
      <c r="D63" s="342"/>
      <c r="E63" s="129" t="s">
        <v>33</v>
      </c>
      <c r="F63" s="235">
        <f>SUM(F59:F62)</f>
        <v>2790.3542549378835</v>
      </c>
      <c r="G63" s="235"/>
      <c r="H63" s="235"/>
      <c r="I63" s="236">
        <f t="shared" ref="I63" si="36">SUM(I59:I62)</f>
        <v>26611.227359133616</v>
      </c>
      <c r="J63" s="237"/>
      <c r="K63" s="238">
        <f t="shared" ref="K63:M63" si="37">SUM(K59:K62)</f>
        <v>3185.5886778122649</v>
      </c>
      <c r="L63" s="235">
        <f t="shared" si="37"/>
        <v>1512.5833103755192</v>
      </c>
      <c r="M63" s="235">
        <f t="shared" si="37"/>
        <v>1412.2160728784206</v>
      </c>
      <c r="N63" s="235"/>
      <c r="O63" s="131">
        <f>SUM(F63:N63)</f>
        <v>35511.969675137705</v>
      </c>
      <c r="P63" s="44">
        <f xml:space="preserve"> O63 - '[10]סיכום עלויות חודשי - צמוד 01.18'!O63</f>
        <v>743.52419931407348</v>
      </c>
      <c r="Q63" s="230">
        <f t="shared" si="1"/>
        <v>2230.5725979422205</v>
      </c>
    </row>
    <row r="64" spans="1:17">
      <c r="A64" s="408" t="s">
        <v>9</v>
      </c>
      <c r="B64" s="411">
        <v>1495</v>
      </c>
      <c r="C64" s="414">
        <f>B64/$B$69</f>
        <v>0.51783858676827155</v>
      </c>
      <c r="D64" s="417">
        <f t="shared" ref="D64" si="38" xml:space="preserve"> $D$48 * C64</f>
        <v>673.57854173882924</v>
      </c>
      <c r="E64" s="239" t="s">
        <v>69</v>
      </c>
      <c r="F64" s="240"/>
      <c r="G64" s="240"/>
      <c r="H64" s="240"/>
      <c r="I64" s="241"/>
      <c r="J64" s="242"/>
      <c r="K64" s="243"/>
      <c r="L64" s="240">
        <f xml:space="preserve"> '[9]סיכום עלויות חודשי - צמוד 01.18'!L64</f>
        <v>2549.3935163600918</v>
      </c>
      <c r="M64" s="240">
        <f xml:space="preserve"> '[9]סיכום עלויות חודשי - צמוד 01.18'!M64</f>
        <v>2548.3933905233807</v>
      </c>
      <c r="N64" s="240"/>
      <c r="O64" s="244">
        <f t="shared" ref="O64:O67" si="39">SUM(F64:N64)</f>
        <v>5097.7869068834725</v>
      </c>
      <c r="P64" s="245">
        <f xml:space="preserve"> O64 - '[10]סיכום עלויות חודשי - צמוד 01.18'!O64</f>
        <v>0</v>
      </c>
      <c r="Q64" s="230">
        <f t="shared" si="1"/>
        <v>0</v>
      </c>
    </row>
    <row r="65" spans="1:17">
      <c r="A65" s="409"/>
      <c r="B65" s="412"/>
      <c r="C65" s="415"/>
      <c r="D65" s="418"/>
      <c r="E65" s="239" t="s">
        <v>66</v>
      </c>
      <c r="F65" s="240"/>
      <c r="G65" s="240"/>
      <c r="H65" s="240"/>
      <c r="I65" s="241">
        <f xml:space="preserve"> ( $D$64 * $E$3)</f>
        <v>28832.335737268677</v>
      </c>
      <c r="J65" s="242"/>
      <c r="K65" s="243"/>
      <c r="L65" s="240"/>
      <c r="M65" s="240"/>
      <c r="N65" s="240"/>
      <c r="O65" s="244">
        <f t="shared" si="39"/>
        <v>28832.335737268677</v>
      </c>
      <c r="P65" s="245">
        <f xml:space="preserve"> O65 - '[10]סיכום עלויות חודשי - צמוד 01.18'!O65</f>
        <v>605.0923564984223</v>
      </c>
      <c r="Q65" s="230">
        <f t="shared" si="1"/>
        <v>1815.2770694952669</v>
      </c>
    </row>
    <row r="66" spans="1:17">
      <c r="A66" s="409"/>
      <c r="B66" s="412"/>
      <c r="C66" s="415"/>
      <c r="D66" s="418"/>
      <c r="E66" s="239" t="s">
        <v>67</v>
      </c>
      <c r="F66" s="240">
        <f>'[9]סיכום עלויות חודשי - צמוד 01.18'!F66  *( 1 + $I$3 )</f>
        <v>1558.5967941853876</v>
      </c>
      <c r="G66" s="240"/>
      <c r="H66" s="240"/>
      <c r="I66" s="241">
        <f>'[9]סיכום עלויות חודשי - צמוד 01.18'!I66  *( 1 + $I$3 )</f>
        <v>5308.9927671812266</v>
      </c>
      <c r="J66" s="242"/>
      <c r="K66" s="243">
        <f>'[9]סיכום עלויות חודשי - צמוד 01.18'!K66  *( 1 + $I$3 )</f>
        <v>1779.3712361526036</v>
      </c>
      <c r="L66" s="240"/>
      <c r="M66" s="240"/>
      <c r="N66" s="240"/>
      <c r="O66" s="244">
        <f t="shared" si="39"/>
        <v>8646.9607975192175</v>
      </c>
      <c r="P66" s="245">
        <f xml:space="preserve"> O66 - '[10]סיכום עלויות חודשי - צמוד 01.18'!O66</f>
        <v>68.249565691279713</v>
      </c>
      <c r="Q66" s="230">
        <f t="shared" si="1"/>
        <v>204.74869707383914</v>
      </c>
    </row>
    <row r="67" spans="1:17">
      <c r="A67" s="409"/>
      <c r="B67" s="412"/>
      <c r="C67" s="415"/>
      <c r="D67" s="418"/>
      <c r="E67" s="239" t="s">
        <v>68</v>
      </c>
      <c r="F67" s="240">
        <f>'[9]סיכום עלויות חודשי - צמוד 01.18'!F67 * ( 1 + $L$3)</f>
        <v>3144.4241879252509</v>
      </c>
      <c r="G67" s="240"/>
      <c r="H67" s="240"/>
      <c r="I67" s="241">
        <f>'[9]סיכום עלויות חודשי - צמוד 01.18'!I67 * ( 1 + $L$3)</f>
        <v>10710.740156096599</v>
      </c>
      <c r="J67" s="242"/>
      <c r="K67" s="243">
        <f>'[9]סיכום עלויות חודשי - צמוד 01.18'!K67 * ( 1 + $L$3)</f>
        <v>3589.8302724156565</v>
      </c>
      <c r="L67" s="240"/>
      <c r="M67" s="240"/>
      <c r="N67" s="240"/>
      <c r="O67" s="244">
        <f t="shared" si="39"/>
        <v>17444.994616437507</v>
      </c>
      <c r="P67" s="245">
        <f xml:space="preserve"> O67 - '[10]סיכום עלויות חודשי - צמוד 01.18'!O67</f>
        <v>579.83658997331804</v>
      </c>
      <c r="Q67" s="230">
        <f t="shared" si="1"/>
        <v>1739.5097699199541</v>
      </c>
    </row>
    <row r="68" spans="1:17">
      <c r="A68" s="410"/>
      <c r="B68" s="413"/>
      <c r="C68" s="416"/>
      <c r="D68" s="419"/>
      <c r="E68" s="239" t="s">
        <v>33</v>
      </c>
      <c r="F68" s="240">
        <f>SUM(F64:F67)</f>
        <v>4703.0209821106382</v>
      </c>
      <c r="G68" s="240"/>
      <c r="H68" s="240"/>
      <c r="I68" s="241">
        <f t="shared" ref="I68" si="40">SUM(I64:I67)</f>
        <v>44852.068660546502</v>
      </c>
      <c r="J68" s="242"/>
      <c r="K68" s="243">
        <f t="shared" ref="K68:M68" si="41">SUM(K64:K67)</f>
        <v>5369.2015085682597</v>
      </c>
      <c r="L68" s="240">
        <f t="shared" si="41"/>
        <v>2549.3935163600918</v>
      </c>
      <c r="M68" s="240">
        <f t="shared" si="41"/>
        <v>2548.3933905233807</v>
      </c>
      <c r="N68" s="240"/>
      <c r="O68" s="244">
        <f>SUM(F68:N68)</f>
        <v>60022.078058108869</v>
      </c>
      <c r="P68" s="245">
        <f>SUM(P64:P67)</f>
        <v>1253.1785121630201</v>
      </c>
      <c r="Q68" s="230">
        <f t="shared" si="1"/>
        <v>3759.5355364890602</v>
      </c>
    </row>
    <row r="69" spans="1:17">
      <c r="A69" s="319" t="s">
        <v>10</v>
      </c>
      <c r="B69" s="397">
        <f>SUM(B49:B64)</f>
        <v>2887</v>
      </c>
      <c r="C69" s="325"/>
      <c r="D69" s="328">
        <f xml:space="preserve"> D49 + D54 + D59 + D64</f>
        <v>1300.75</v>
      </c>
      <c r="E69" s="84" t="s">
        <v>69</v>
      </c>
      <c r="F69" s="226">
        <f xml:space="preserve"> F49 + F54 + F59 + F64</f>
        <v>0</v>
      </c>
      <c r="G69" s="226">
        <f t="shared" ref="G69:O69" si="42" xml:space="preserve"> G49 + G54 + G59 + G64</f>
        <v>0</v>
      </c>
      <c r="H69" s="226">
        <f t="shared" si="42"/>
        <v>0</v>
      </c>
      <c r="I69" s="227">
        <f t="shared" si="42"/>
        <v>0</v>
      </c>
      <c r="J69" s="228">
        <f t="shared" si="42"/>
        <v>0</v>
      </c>
      <c r="K69" s="229">
        <f t="shared" si="42"/>
        <v>0</v>
      </c>
      <c r="L69" s="226">
        <f t="shared" si="42"/>
        <v>4923.143198482665</v>
      </c>
      <c r="M69" s="226">
        <f t="shared" si="42"/>
        <v>4821.4380000000001</v>
      </c>
      <c r="N69" s="226">
        <f t="shared" si="42"/>
        <v>0</v>
      </c>
      <c r="O69" s="126">
        <f t="shared" si="42"/>
        <v>9744.5811984826651</v>
      </c>
      <c r="P69" s="44">
        <f xml:space="preserve"> O69 - '[10]סיכום עלויות חודשי - צמוד 01.18'!O69</f>
        <v>0</v>
      </c>
      <c r="Q69" s="230">
        <f t="shared" si="1"/>
        <v>0</v>
      </c>
    </row>
    <row r="70" spans="1:17">
      <c r="A70" s="320"/>
      <c r="B70" s="398"/>
      <c r="C70" s="326"/>
      <c r="D70" s="329"/>
      <c r="E70" s="84" t="s">
        <v>66</v>
      </c>
      <c r="F70" s="226">
        <f t="shared" ref="F70:O73" si="43" xml:space="preserve"> F50 + F55 + F60 + F65</f>
        <v>0</v>
      </c>
      <c r="G70" s="226">
        <f t="shared" si="43"/>
        <v>0</v>
      </c>
      <c r="H70" s="226">
        <f t="shared" si="43"/>
        <v>0</v>
      </c>
      <c r="I70" s="227">
        <f t="shared" si="43"/>
        <v>55678.229614377706</v>
      </c>
      <c r="J70" s="228">
        <f t="shared" si="43"/>
        <v>0</v>
      </c>
      <c r="K70" s="229">
        <f t="shared" si="43"/>
        <v>0</v>
      </c>
      <c r="L70" s="226">
        <f t="shared" si="43"/>
        <v>0</v>
      </c>
      <c r="M70" s="226">
        <f t="shared" si="43"/>
        <v>0</v>
      </c>
      <c r="N70" s="226">
        <f t="shared" si="43"/>
        <v>0</v>
      </c>
      <c r="O70" s="126">
        <f t="shared" si="43"/>
        <v>55678.229614377706</v>
      </c>
      <c r="P70" s="44">
        <f xml:space="preserve"> O70 - '[10]סיכום עלויות חודשי - צמוד 01.18'!O70</f>
        <v>1168.4960757263834</v>
      </c>
      <c r="Q70" s="230">
        <f t="shared" si="1"/>
        <v>3505.4882271791503</v>
      </c>
    </row>
    <row r="71" spans="1:17">
      <c r="A71" s="320"/>
      <c r="B71" s="398"/>
      <c r="C71" s="326"/>
      <c r="D71" s="329"/>
      <c r="E71" s="84" t="s">
        <v>67</v>
      </c>
      <c r="F71" s="226">
        <f t="shared" si="43"/>
        <v>3009.8120032195411</v>
      </c>
      <c r="G71" s="226">
        <f t="shared" si="43"/>
        <v>0</v>
      </c>
      <c r="H71" s="226">
        <f t="shared" si="43"/>
        <v>0</v>
      </c>
      <c r="I71" s="227">
        <f t="shared" si="43"/>
        <v>10252.215464115186</v>
      </c>
      <c r="J71" s="228">
        <f t="shared" si="43"/>
        <v>0</v>
      </c>
      <c r="K71" s="229">
        <f t="shared" si="43"/>
        <v>3436.1600357507486</v>
      </c>
      <c r="L71" s="226">
        <f t="shared" si="43"/>
        <v>0</v>
      </c>
      <c r="M71" s="226">
        <f t="shared" si="43"/>
        <v>0</v>
      </c>
      <c r="N71" s="226">
        <f t="shared" si="43"/>
        <v>0</v>
      </c>
      <c r="O71" s="126">
        <f t="shared" si="43"/>
        <v>16698.187503085475</v>
      </c>
      <c r="P71" s="44">
        <f xml:space="preserve"> O71 - '[10]סיכום עלויות חודשי - צמוד 01.18'!O71</f>
        <v>131.79706391684886</v>
      </c>
      <c r="Q71" s="230">
        <f t="shared" ref="Q71:Q74" si="44" xml:space="preserve"> P71 * 3</f>
        <v>395.39119175054657</v>
      </c>
    </row>
    <row r="72" spans="1:17">
      <c r="A72" s="320"/>
      <c r="B72" s="398"/>
      <c r="C72" s="326"/>
      <c r="D72" s="329"/>
      <c r="E72" s="84" t="s">
        <v>68</v>
      </c>
      <c r="F72" s="226">
        <f t="shared" si="43"/>
        <v>6072.2091174181933</v>
      </c>
      <c r="G72" s="226">
        <f t="shared" si="43"/>
        <v>0</v>
      </c>
      <c r="H72" s="226">
        <f t="shared" si="43"/>
        <v>0</v>
      </c>
      <c r="I72" s="227">
        <f t="shared" si="43"/>
        <v>20683.549719498922</v>
      </c>
      <c r="J72" s="228">
        <f t="shared" si="43"/>
        <v>0</v>
      </c>
      <c r="K72" s="229">
        <f t="shared" si="43"/>
        <v>6932.3540060557661</v>
      </c>
      <c r="L72" s="226">
        <f t="shared" si="43"/>
        <v>0</v>
      </c>
      <c r="M72" s="226">
        <f t="shared" si="43"/>
        <v>0</v>
      </c>
      <c r="N72" s="226">
        <f t="shared" si="43"/>
        <v>0</v>
      </c>
      <c r="O72" s="126">
        <f t="shared" si="43"/>
        <v>33688.112842972885</v>
      </c>
      <c r="P72" s="44">
        <f xml:space="preserve"> O72 - '[10]סיכום עלויות חודשי - צמוד 01.18'!O72</f>
        <v>1119.7252222193492</v>
      </c>
      <c r="Q72" s="230">
        <f t="shared" si="44"/>
        <v>3359.1756666580477</v>
      </c>
    </row>
    <row r="73" spans="1:17">
      <c r="A73" s="321"/>
      <c r="B73" s="399"/>
      <c r="C73" s="327"/>
      <c r="D73" s="330"/>
      <c r="E73" s="84" t="s">
        <v>33</v>
      </c>
      <c r="F73" s="226">
        <f t="shared" si="43"/>
        <v>9082.0211206377353</v>
      </c>
      <c r="G73" s="226">
        <f t="shared" si="43"/>
        <v>0</v>
      </c>
      <c r="H73" s="226">
        <f t="shared" si="43"/>
        <v>0</v>
      </c>
      <c r="I73" s="227">
        <f t="shared" si="43"/>
        <v>86613.994797991822</v>
      </c>
      <c r="J73" s="228">
        <f t="shared" si="43"/>
        <v>0</v>
      </c>
      <c r="K73" s="229">
        <f t="shared" si="43"/>
        <v>10368.514041806513</v>
      </c>
      <c r="L73" s="226">
        <f t="shared" si="43"/>
        <v>4923.143198482665</v>
      </c>
      <c r="M73" s="226">
        <f t="shared" si="43"/>
        <v>4821.4380000000001</v>
      </c>
      <c r="N73" s="226">
        <f t="shared" si="43"/>
        <v>0</v>
      </c>
      <c r="O73" s="126">
        <f t="shared" si="43"/>
        <v>115809.11115891873</v>
      </c>
      <c r="P73" s="44">
        <f xml:space="preserve"> O73 - '[10]סיכום עלויות חודשי - צמוד 01.18'!O73</f>
        <v>2420.0183618625742</v>
      </c>
      <c r="Q73" s="230">
        <f t="shared" si="44"/>
        <v>7260.0550855877227</v>
      </c>
    </row>
    <row r="74" spans="1:17" ht="15.75" thickBot="1">
      <c r="A74" s="14" t="s">
        <v>20</v>
      </c>
      <c r="B74" s="15">
        <f>B69+B43</f>
        <v>30200.32</v>
      </c>
      <c r="C74" s="15"/>
      <c r="D74" s="15">
        <f t="shared" ref="D74" si="45">D69+D43</f>
        <v>7409.4375</v>
      </c>
      <c r="E74" s="15"/>
      <c r="F74" s="49">
        <f xml:space="preserve"> F73 + F47</f>
        <v>95005.176338766265</v>
      </c>
      <c r="G74" s="49">
        <f t="shared" ref="G74:N74" si="46" xml:space="preserve"> G73 + G47</f>
        <v>165222.34615035105</v>
      </c>
      <c r="H74" s="49">
        <f t="shared" si="46"/>
        <v>296707.97672518279</v>
      </c>
      <c r="I74" s="215">
        <f t="shared" si="46"/>
        <v>86613.994797991822</v>
      </c>
      <c r="J74" s="216">
        <f t="shared" si="46"/>
        <v>13487.811946520265</v>
      </c>
      <c r="K74" s="217">
        <f t="shared" si="46"/>
        <v>10368.514041806513</v>
      </c>
      <c r="L74" s="49">
        <f t="shared" si="46"/>
        <v>51500</v>
      </c>
      <c r="M74" s="49">
        <f t="shared" si="46"/>
        <v>23925.823320000003</v>
      </c>
      <c r="N74" s="49">
        <f t="shared" si="46"/>
        <v>8783.84</v>
      </c>
      <c r="O74" s="128">
        <f>SUM(F74:N74)</f>
        <v>751615.48332061863</v>
      </c>
      <c r="P74" s="44">
        <f xml:space="preserve"> O74 - '[10]סיכום עלויות חודשי - צמוד 01.18'!O74</f>
        <v>15355.706622195896</v>
      </c>
      <c r="Q74" s="230">
        <f t="shared" si="44"/>
        <v>46067.119866587687</v>
      </c>
    </row>
    <row r="75" spans="1:17" s="2" customFormat="1" ht="15" thickTop="1">
      <c r="A75"/>
      <c r="B75"/>
      <c r="F75" s="31"/>
      <c r="O75" s="122"/>
      <c r="P75"/>
    </row>
    <row r="79" spans="1:17" s="2" customFormat="1">
      <c r="A79"/>
      <c r="B79"/>
      <c r="C79"/>
      <c r="D79"/>
      <c r="E79"/>
      <c r="H79" s="26"/>
      <c r="I79" s="26"/>
      <c r="J79" s="26"/>
      <c r="K79" s="26"/>
      <c r="L79" s="26"/>
      <c r="M79" s="26"/>
      <c r="N79" s="26"/>
      <c r="O79" s="122"/>
      <c r="P79"/>
    </row>
    <row r="80" spans="1:17" s="2" customFormat="1">
      <c r="A80"/>
      <c r="B80"/>
      <c r="C80"/>
      <c r="D80"/>
      <c r="E80"/>
      <c r="H80" s="26"/>
      <c r="I80" s="26"/>
      <c r="J80" s="26"/>
      <c r="K80" s="26"/>
      <c r="L80" s="26"/>
      <c r="M80" s="26"/>
      <c r="N80" s="26"/>
      <c r="O80" s="122"/>
      <c r="P80"/>
    </row>
    <row r="81" spans="1:16" s="2" customFormat="1">
      <c r="A81"/>
      <c r="B81"/>
      <c r="C81"/>
      <c r="D81"/>
      <c r="E81"/>
      <c r="H81" s="26"/>
      <c r="I81" s="26"/>
      <c r="J81" s="26"/>
      <c r="K81" s="26"/>
      <c r="L81" s="26"/>
      <c r="M81" s="26"/>
      <c r="N81" s="26"/>
      <c r="O81" s="122"/>
      <c r="P81"/>
    </row>
    <row r="82" spans="1:16" s="2" customFormat="1">
      <c r="A82"/>
      <c r="B82"/>
      <c r="C82"/>
      <c r="D82"/>
      <c r="E82"/>
      <c r="H82" s="26"/>
      <c r="I82" s="26"/>
      <c r="J82" s="26"/>
      <c r="K82" s="26"/>
      <c r="L82" s="26"/>
      <c r="M82" s="26"/>
      <c r="N82" s="26"/>
      <c r="O82" s="122"/>
      <c r="P82"/>
    </row>
    <row r="83" spans="1:16" s="2" customFormat="1">
      <c r="A83"/>
      <c r="B83"/>
      <c r="C83"/>
      <c r="D83"/>
      <c r="E83"/>
      <c r="H83" s="27"/>
      <c r="I83" s="26"/>
      <c r="J83" s="26"/>
      <c r="K83" s="26"/>
      <c r="L83" s="26"/>
      <c r="M83" s="246"/>
      <c r="N83" s="246"/>
      <c r="O83" s="122"/>
      <c r="P83"/>
    </row>
    <row r="84" spans="1:16" s="2" customFormat="1">
      <c r="A84"/>
      <c r="B84"/>
      <c r="C84"/>
      <c r="D84"/>
      <c r="E84"/>
      <c r="H84" s="26"/>
      <c r="I84" s="26"/>
      <c r="J84" s="26"/>
      <c r="K84" s="26"/>
      <c r="L84" s="26"/>
      <c r="M84" s="27"/>
      <c r="N84" s="27"/>
      <c r="O84" s="122"/>
      <c r="P84"/>
    </row>
    <row r="85" spans="1:16" s="2" customFormat="1">
      <c r="A85"/>
      <c r="B85"/>
      <c r="C85"/>
      <c r="D85"/>
      <c r="E85"/>
      <c r="H85" s="26"/>
      <c r="I85" s="26"/>
      <c r="J85" s="26"/>
      <c r="K85" s="26"/>
      <c r="L85" s="26"/>
      <c r="M85" s="27"/>
      <c r="N85" s="27"/>
      <c r="O85" s="122"/>
      <c r="P85"/>
    </row>
    <row r="86" spans="1:16" s="2" customFormat="1">
      <c r="A86"/>
      <c r="B86"/>
      <c r="C86"/>
      <c r="D86"/>
      <c r="E86"/>
      <c r="H86" s="26"/>
      <c r="I86" s="26"/>
      <c r="J86" s="26"/>
      <c r="K86" s="26"/>
      <c r="L86" s="26"/>
      <c r="M86" s="27"/>
      <c r="N86" s="27"/>
      <c r="O86" s="122"/>
      <c r="P86"/>
    </row>
    <row r="87" spans="1:16" s="2" customFormat="1">
      <c r="A87"/>
      <c r="B87"/>
      <c r="C87"/>
      <c r="D87"/>
      <c r="E87"/>
      <c r="H87" s="26"/>
      <c r="I87" s="26"/>
      <c r="J87" s="26"/>
      <c r="K87" s="26"/>
      <c r="L87" s="26"/>
      <c r="M87" s="27"/>
      <c r="N87" s="27"/>
      <c r="O87" s="122"/>
      <c r="P87"/>
    </row>
    <row r="88" spans="1:16" s="2" customFormat="1">
      <c r="A88"/>
      <c r="B88"/>
      <c r="C88"/>
      <c r="D88"/>
      <c r="E88"/>
      <c r="H88" s="26"/>
      <c r="I88" s="26"/>
      <c r="J88" s="26"/>
      <c r="K88" s="26"/>
      <c r="L88" s="26"/>
      <c r="M88" s="26"/>
      <c r="N88" s="26"/>
      <c r="O88" s="122"/>
      <c r="P88"/>
    </row>
    <row r="89" spans="1:16" s="2" customFormat="1">
      <c r="A89"/>
      <c r="B89"/>
      <c r="C89"/>
      <c r="D89"/>
      <c r="E89"/>
      <c r="H89" s="26"/>
      <c r="I89" s="26"/>
      <c r="J89" s="26"/>
      <c r="K89" s="26"/>
      <c r="L89" s="26"/>
      <c r="M89" s="26"/>
      <c r="N89" s="26"/>
      <c r="O89" s="122"/>
      <c r="P89"/>
    </row>
    <row r="90" spans="1:16" s="2" customFormat="1">
      <c r="A90"/>
      <c r="B90"/>
      <c r="C90"/>
      <c r="D90"/>
      <c r="E90"/>
      <c r="H90" s="26"/>
      <c r="I90" s="26"/>
      <c r="J90" s="26"/>
      <c r="K90" s="26"/>
      <c r="L90" s="26"/>
      <c r="M90" s="26"/>
      <c r="N90" s="26"/>
      <c r="O90" s="122"/>
      <c r="P90"/>
    </row>
    <row r="91" spans="1:16" s="2" customFormat="1">
      <c r="A91"/>
      <c r="B91"/>
      <c r="C91"/>
      <c r="D91"/>
      <c r="E91"/>
      <c r="H91" s="26"/>
      <c r="I91" s="26"/>
      <c r="J91" s="26"/>
      <c r="K91" s="26"/>
      <c r="L91" s="26"/>
      <c r="M91" s="26"/>
      <c r="N91" s="26"/>
      <c r="O91" s="122"/>
      <c r="P91"/>
    </row>
    <row r="92" spans="1:16" s="2" customFormat="1">
      <c r="A92"/>
      <c r="B92"/>
      <c r="C92"/>
      <c r="D92"/>
      <c r="E92"/>
      <c r="H92" s="26"/>
      <c r="I92" s="26"/>
      <c r="J92" s="26"/>
      <c r="K92" s="26"/>
      <c r="L92" s="26"/>
      <c r="M92" s="26"/>
      <c r="N92" s="26"/>
      <c r="O92" s="122"/>
      <c r="P92"/>
    </row>
    <row r="93" spans="1:16" s="2" customFormat="1">
      <c r="A93"/>
      <c r="B93"/>
      <c r="C93"/>
      <c r="D93"/>
      <c r="E93"/>
      <c r="H93" s="26"/>
      <c r="I93" s="26"/>
      <c r="J93" s="26"/>
      <c r="K93" s="26"/>
      <c r="L93" s="26"/>
      <c r="M93" s="26"/>
      <c r="N93" s="26"/>
      <c r="O93" s="122"/>
      <c r="P93"/>
    </row>
    <row r="94" spans="1:16" s="2" customFormat="1">
      <c r="A94"/>
      <c r="B94"/>
      <c r="C94"/>
      <c r="D94"/>
      <c r="E94"/>
      <c r="H94" s="26"/>
      <c r="I94" s="26"/>
      <c r="J94" s="26"/>
      <c r="K94" s="26"/>
      <c r="L94" s="26"/>
      <c r="M94" s="26"/>
      <c r="N94" s="26"/>
      <c r="O94" s="122"/>
      <c r="P94"/>
    </row>
  </sheetData>
  <mergeCells count="53">
    <mergeCell ref="A13:A17"/>
    <mergeCell ref="B13:B17"/>
    <mergeCell ref="C13:C17"/>
    <mergeCell ref="D13:D17"/>
    <mergeCell ref="A2:O2"/>
    <mergeCell ref="A6:A10"/>
    <mergeCell ref="B6:B10"/>
    <mergeCell ref="C6:C10"/>
    <mergeCell ref="D6:D10"/>
    <mergeCell ref="A18:A22"/>
    <mergeCell ref="B18:B22"/>
    <mergeCell ref="C18:C22"/>
    <mergeCell ref="D18:D22"/>
    <mergeCell ref="A23:A27"/>
    <mergeCell ref="B23:B27"/>
    <mergeCell ref="C23:C27"/>
    <mergeCell ref="D23:D27"/>
    <mergeCell ref="A28:A32"/>
    <mergeCell ref="B28:B32"/>
    <mergeCell ref="C28:C32"/>
    <mergeCell ref="D28:D32"/>
    <mergeCell ref="A33:A37"/>
    <mergeCell ref="B33:B37"/>
    <mergeCell ref="C33:C37"/>
    <mergeCell ref="D33:D37"/>
    <mergeCell ref="A38:A42"/>
    <mergeCell ref="B38:B42"/>
    <mergeCell ref="C38:C42"/>
    <mergeCell ref="D38:D42"/>
    <mergeCell ref="A43:A47"/>
    <mergeCell ref="B43:B47"/>
    <mergeCell ref="C43:C47"/>
    <mergeCell ref="D43:D47"/>
    <mergeCell ref="A49:A53"/>
    <mergeCell ref="B49:B53"/>
    <mergeCell ref="C49:C53"/>
    <mergeCell ref="D49:D53"/>
    <mergeCell ref="A54:A58"/>
    <mergeCell ref="B54:B58"/>
    <mergeCell ref="C54:C58"/>
    <mergeCell ref="D54:D58"/>
    <mergeCell ref="A69:A73"/>
    <mergeCell ref="B69:B73"/>
    <mergeCell ref="C69:C73"/>
    <mergeCell ref="D69:D73"/>
    <mergeCell ref="A59:A63"/>
    <mergeCell ref="B59:B63"/>
    <mergeCell ref="C59:C63"/>
    <mergeCell ref="D59:D63"/>
    <mergeCell ref="A64:A68"/>
    <mergeCell ref="B64:B68"/>
    <mergeCell ref="C64:C68"/>
    <mergeCell ref="D64:D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S94"/>
  <sheetViews>
    <sheetView rightToLeft="1" view="pageBreakPreview" topLeftCell="E1" zoomScale="70" zoomScaleNormal="100" zoomScaleSheetLayoutView="70" workbookViewId="0">
      <selection activeCell="A2" sqref="A2:O2"/>
    </sheetView>
  </sheetViews>
  <sheetFormatPr defaultRowHeight="14.25"/>
  <cols>
    <col min="1" max="1" width="19.375" customWidth="1"/>
    <col min="2" max="2" width="16.375" customWidth="1"/>
    <col min="3" max="5" width="14.87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1" width="14.125" style="2" customWidth="1"/>
    <col min="12" max="13" width="15.375" style="2" customWidth="1"/>
    <col min="14" max="14" width="23.375" style="2" bestFit="1" customWidth="1"/>
    <col min="15" max="15" width="15.875" style="122" customWidth="1"/>
    <col min="16" max="16" width="10.125" customWidth="1"/>
  </cols>
  <sheetData>
    <row r="1" spans="1:19">
      <c r="L1" s="2">
        <f>1.0528</f>
        <v>1.0528</v>
      </c>
    </row>
    <row r="2" spans="1:19" ht="29.25" customHeight="1" thickBot="1">
      <c r="A2" s="384" t="s">
        <v>387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</row>
    <row r="3" spans="1:19" ht="15" customHeight="1" thickTop="1">
      <c r="A3" s="3"/>
      <c r="B3" s="3" t="s">
        <v>16</v>
      </c>
      <c r="C3" s="3"/>
      <c r="D3" s="200" t="s">
        <v>282</v>
      </c>
      <c r="E3" s="112">
        <v>42.804712369308248</v>
      </c>
      <c r="F3" s="146">
        <v>5.6350265618648976E-2</v>
      </c>
      <c r="G3" s="201" t="s">
        <v>283</v>
      </c>
      <c r="H3" s="90">
        <v>0.35</v>
      </c>
      <c r="I3" s="202">
        <v>5.9756219402538058E-3</v>
      </c>
      <c r="J3" s="203" t="s">
        <v>284</v>
      </c>
      <c r="K3" s="204">
        <v>0.65</v>
      </c>
      <c r="L3" s="121">
        <v>2.8503797218660587E-2</v>
      </c>
      <c r="M3" s="5"/>
      <c r="N3" s="18"/>
      <c r="O3" s="123"/>
    </row>
    <row r="4" spans="1:19" ht="75">
      <c r="A4" s="6"/>
      <c r="B4" s="7" t="s">
        <v>14</v>
      </c>
      <c r="C4" s="7"/>
      <c r="D4" s="7"/>
      <c r="E4" s="7"/>
      <c r="F4" s="8" t="s">
        <v>11</v>
      </c>
      <c r="G4" s="8" t="s">
        <v>28</v>
      </c>
      <c r="H4" s="8" t="s">
        <v>22</v>
      </c>
      <c r="I4" s="32" t="s">
        <v>25</v>
      </c>
      <c r="J4" s="205" t="s">
        <v>19</v>
      </c>
      <c r="K4" s="206" t="s">
        <v>63</v>
      </c>
      <c r="L4" s="8" t="s">
        <v>23</v>
      </c>
      <c r="M4" s="8" t="s">
        <v>288</v>
      </c>
      <c r="N4" s="32" t="s">
        <v>31</v>
      </c>
      <c r="O4" s="124" t="s">
        <v>285</v>
      </c>
      <c r="P4" s="207" t="s">
        <v>286</v>
      </c>
    </row>
    <row r="5" spans="1:19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2" t="s">
        <v>18</v>
      </c>
      <c r="H5" s="12" t="s">
        <v>15</v>
      </c>
      <c r="I5" s="208" t="s">
        <v>17</v>
      </c>
      <c r="J5" s="209" t="s">
        <v>18</v>
      </c>
      <c r="K5" s="210" t="s">
        <v>17</v>
      </c>
      <c r="L5" s="11" t="s">
        <v>13</v>
      </c>
      <c r="M5" s="11" t="s">
        <v>13</v>
      </c>
      <c r="N5" s="33" t="s">
        <v>30</v>
      </c>
      <c r="O5" s="125"/>
    </row>
    <row r="6" spans="1:19" ht="14.25" customHeight="1">
      <c r="A6" s="347" t="s">
        <v>70</v>
      </c>
      <c r="B6" s="397">
        <v>12056.32</v>
      </c>
      <c r="C6" s="325">
        <v>0.44140807488800338</v>
      </c>
      <c r="D6" s="350">
        <v>7396</v>
      </c>
      <c r="E6" s="84" t="s">
        <v>69</v>
      </c>
      <c r="F6" s="85">
        <v>0</v>
      </c>
      <c r="G6" s="85">
        <v>0</v>
      </c>
      <c r="H6" s="85">
        <v>0</v>
      </c>
      <c r="I6" s="211">
        <v>0</v>
      </c>
      <c r="J6" s="212">
        <v>0</v>
      </c>
      <c r="K6" s="213">
        <v>0</v>
      </c>
      <c r="L6" s="85">
        <v>51500</v>
      </c>
      <c r="M6" s="85">
        <v>23925.823320000003</v>
      </c>
      <c r="N6" s="85">
        <v>8783.84</v>
      </c>
      <c r="O6" s="126">
        <v>84209.663319999992</v>
      </c>
      <c r="P6" s="44">
        <f xml:space="preserve"> O6 - '[11]סיכום עלויות חודשי - צמוד 01.17'!O6</f>
        <v>6249.0733199999959</v>
      </c>
    </row>
    <row r="7" spans="1:19">
      <c r="A7" s="348"/>
      <c r="B7" s="398"/>
      <c r="C7" s="326"/>
      <c r="D7" s="351"/>
      <c r="E7" s="84" t="s">
        <v>66</v>
      </c>
      <c r="F7" s="226">
        <v>0</v>
      </c>
      <c r="G7" s="226">
        <v>14724.821055042039</v>
      </c>
      <c r="H7" s="226">
        <v>246755.79033644666</v>
      </c>
      <c r="I7" s="227">
        <v>55678.229614377706</v>
      </c>
      <c r="J7" s="228">
        <v>0</v>
      </c>
      <c r="K7" s="229">
        <v>0</v>
      </c>
      <c r="L7" s="226">
        <v>0</v>
      </c>
      <c r="M7" s="226">
        <v>0</v>
      </c>
      <c r="N7" s="226">
        <v>0</v>
      </c>
      <c r="O7" s="126">
        <v>317158.84100586636</v>
      </c>
      <c r="P7" s="44">
        <f xml:space="preserve"> O7 - '[11]סיכום עלויות חודשי - צמוד 01.17'!O7</f>
        <v>23219.634355557559</v>
      </c>
    </row>
    <row r="8" spans="1:19">
      <c r="A8" s="348"/>
      <c r="B8" s="398"/>
      <c r="C8" s="326"/>
      <c r="D8" s="351"/>
      <c r="E8" s="84" t="s">
        <v>67</v>
      </c>
      <c r="F8" s="226">
        <v>31673.174039291156</v>
      </c>
      <c r="G8" s="226">
        <v>50173.416739202185</v>
      </c>
      <c r="H8" s="226">
        <v>16653.243055851955</v>
      </c>
      <c r="I8" s="227">
        <v>10313.478827778763</v>
      </c>
      <c r="J8" s="228">
        <v>4496.6162019221456</v>
      </c>
      <c r="K8" s="229">
        <v>3456.6932290506038</v>
      </c>
      <c r="L8" s="226">
        <v>0</v>
      </c>
      <c r="M8" s="226">
        <v>0</v>
      </c>
      <c r="N8" s="226">
        <v>0</v>
      </c>
      <c r="O8" s="126">
        <v>116766.6220930968</v>
      </c>
      <c r="P8" s="44">
        <f xml:space="preserve"> O8 - '[11]סיכום עלויות חודשי - צמוד 01.17'!O8</f>
        <v>2305.5725689856481</v>
      </c>
    </row>
    <row r="9" spans="1:19">
      <c r="A9" s="348"/>
      <c r="B9" s="398"/>
      <c r="C9" s="326"/>
      <c r="D9" s="351"/>
      <c r="E9" s="84" t="s">
        <v>68</v>
      </c>
      <c r="F9" s="226">
        <v>65330.710274647965</v>
      </c>
      <c r="G9" s="226">
        <v>103490.25798335645</v>
      </c>
      <c r="H9" s="226">
        <v>34349.831686130121</v>
      </c>
      <c r="I9" s="227">
        <v>21273.109426465602</v>
      </c>
      <c r="J9" s="228">
        <v>9274.9507813659638</v>
      </c>
      <c r="K9" s="229">
        <v>7129.9524188923488</v>
      </c>
      <c r="L9" s="226">
        <v>0</v>
      </c>
      <c r="M9" s="226">
        <v>0</v>
      </c>
      <c r="N9" s="226">
        <v>0</v>
      </c>
      <c r="O9" s="126">
        <v>240848.81257085851</v>
      </c>
      <c r="P9" s="44">
        <f xml:space="preserve"> O9 - '[11]סיכום עלויות חודשי - צמוד 01.17'!O9</f>
        <v>20440.276095628156</v>
      </c>
    </row>
    <row r="10" spans="1:19">
      <c r="A10" s="349"/>
      <c r="B10" s="399"/>
      <c r="C10" s="327"/>
      <c r="D10" s="352"/>
      <c r="E10" s="84" t="s">
        <v>33</v>
      </c>
      <c r="F10" s="226">
        <v>97003.88431393911</v>
      </c>
      <c r="G10" s="226">
        <v>168388.49577760068</v>
      </c>
      <c r="H10" s="226">
        <v>297758.86507842876</v>
      </c>
      <c r="I10" s="227">
        <v>87264.817868622078</v>
      </c>
      <c r="J10" s="228">
        <v>13771.56698328811</v>
      </c>
      <c r="K10" s="229">
        <v>10586.645647942953</v>
      </c>
      <c r="L10" s="226">
        <v>51500</v>
      </c>
      <c r="M10" s="226">
        <v>23925.823320000003</v>
      </c>
      <c r="N10" s="226">
        <v>8783.84</v>
      </c>
      <c r="O10" s="126">
        <v>758983.93898982159</v>
      </c>
      <c r="P10" s="44">
        <f xml:space="preserve"> O10 - '[11]סיכום עלויות חודשי - צמוד 01.17'!O10</f>
        <v>52214.556340171257</v>
      </c>
    </row>
    <row r="11" spans="1:19">
      <c r="A11" s="6"/>
      <c r="B11" s="6"/>
      <c r="C11" s="6"/>
      <c r="D11" s="6"/>
      <c r="E11" s="6"/>
      <c r="F11" s="231"/>
      <c r="G11" s="231"/>
      <c r="H11" s="231"/>
      <c r="I11" s="232"/>
      <c r="J11" s="233"/>
      <c r="K11" s="275"/>
      <c r="L11" s="231"/>
      <c r="M11" s="231"/>
      <c r="N11" s="232"/>
      <c r="O11" s="127"/>
      <c r="P11" s="44">
        <f xml:space="preserve"> O11 - '[11]סיכום עלויות חודשי - צמוד 01.17'!O11</f>
        <v>0</v>
      </c>
    </row>
    <row r="12" spans="1:19" ht="15">
      <c r="A12" s="87" t="s">
        <v>0</v>
      </c>
      <c r="B12" s="88" t="s">
        <v>21</v>
      </c>
      <c r="C12" s="9" t="s">
        <v>230</v>
      </c>
      <c r="D12" s="83">
        <v>344</v>
      </c>
      <c r="E12" s="9"/>
      <c r="F12" s="231"/>
      <c r="G12" s="231"/>
      <c r="H12" s="231"/>
      <c r="I12" s="232"/>
      <c r="J12" s="233"/>
      <c r="K12" s="275"/>
      <c r="L12" s="231"/>
      <c r="M12" s="231"/>
      <c r="N12" s="232"/>
      <c r="O12" s="127">
        <v>0</v>
      </c>
      <c r="P12" s="44">
        <f xml:space="preserve"> O12 - '[11]סיכום עלויות חודשי - צמוד 01.17'!O12</f>
        <v>0</v>
      </c>
    </row>
    <row r="13" spans="1:19">
      <c r="A13" s="331" t="s">
        <v>1</v>
      </c>
      <c r="B13" s="388">
        <v>12056.32</v>
      </c>
      <c r="C13" s="337">
        <v>0.44140807488800338</v>
      </c>
      <c r="D13" s="343">
        <v>2741.25</v>
      </c>
      <c r="E13" s="30" t="s">
        <v>69</v>
      </c>
      <c r="F13" s="231"/>
      <c r="G13" s="231"/>
      <c r="H13" s="231"/>
      <c r="I13" s="232"/>
      <c r="J13" s="233"/>
      <c r="K13" s="234"/>
      <c r="L13" s="231">
        <v>20559.400695091972</v>
      </c>
      <c r="M13" s="231">
        <v>11058.833320096655</v>
      </c>
      <c r="N13" s="231">
        <v>8783.84</v>
      </c>
      <c r="O13" s="127">
        <v>40402.074015188628</v>
      </c>
      <c r="P13" s="44">
        <f xml:space="preserve"> O13 - '[11]סיכום עלויות חודשי - צמוד 01.17'!O13</f>
        <v>4739.6353200000012</v>
      </c>
    </row>
    <row r="14" spans="1:19">
      <c r="A14" s="332"/>
      <c r="B14" s="389"/>
      <c r="C14" s="338"/>
      <c r="D14" s="344"/>
      <c r="E14" s="30" t="s">
        <v>66</v>
      </c>
      <c r="F14" s="231"/>
      <c r="G14" s="231">
        <v>6499.6549149764451</v>
      </c>
      <c r="H14" s="231">
        <v>117338.41778236623</v>
      </c>
      <c r="I14" s="232"/>
      <c r="J14" s="233"/>
      <c r="K14" s="275"/>
      <c r="L14" s="231"/>
      <c r="M14" s="231"/>
      <c r="N14" s="276"/>
      <c r="O14" s="127">
        <v>123838.07269734268</v>
      </c>
      <c r="P14" s="44">
        <f xml:space="preserve"> O14 - '[11]סיכום עלויות חודשי - צמוד 01.17'!O14</f>
        <v>9066.3553890212206</v>
      </c>
      <c r="R14" s="214"/>
      <c r="S14" s="214"/>
    </row>
    <row r="15" spans="1:19">
      <c r="A15" s="332"/>
      <c r="B15" s="389"/>
      <c r="C15" s="338"/>
      <c r="D15" s="344"/>
      <c r="E15" s="30" t="s">
        <v>67</v>
      </c>
      <c r="F15" s="231">
        <v>12644.300511828575</v>
      </c>
      <c r="G15" s="231">
        <v>22146.951293404756</v>
      </c>
      <c r="H15" s="231">
        <v>7449.621569317078</v>
      </c>
      <c r="I15" s="232"/>
      <c r="J15" s="233">
        <v>1984.8427012006598</v>
      </c>
      <c r="K15" s="234"/>
      <c r="L15" s="231"/>
      <c r="M15" s="231"/>
      <c r="N15" s="231"/>
      <c r="O15" s="127">
        <v>44225.716075751072</v>
      </c>
      <c r="P15" s="44">
        <f xml:space="preserve"> O15 - '[11]סיכום עלויות חודשי - צמוד 01.17'!O15</f>
        <v>873.24267843172129</v>
      </c>
    </row>
    <row r="16" spans="1:19">
      <c r="A16" s="332"/>
      <c r="B16" s="389"/>
      <c r="C16" s="338"/>
      <c r="D16" s="344"/>
      <c r="E16" s="30" t="s">
        <v>68</v>
      </c>
      <c r="F16" s="231">
        <v>26080.781557892227</v>
      </c>
      <c r="G16" s="231">
        <v>45681.435546096203</v>
      </c>
      <c r="H16" s="231">
        <v>15365.970830617593</v>
      </c>
      <c r="I16" s="232"/>
      <c r="J16" s="233">
        <v>4094.038169083733</v>
      </c>
      <c r="K16" s="234"/>
      <c r="L16" s="231"/>
      <c r="M16" s="231"/>
      <c r="N16" s="231"/>
      <c r="O16" s="127">
        <v>91222.226103689754</v>
      </c>
      <c r="P16" s="44">
        <f xml:space="preserve"> O16 - '[11]סיכום עלויות חודשי - צמוד 01.17'!O16</f>
        <v>7741.817232620393</v>
      </c>
    </row>
    <row r="17" spans="1:16">
      <c r="A17" s="333"/>
      <c r="B17" s="390"/>
      <c r="C17" s="339"/>
      <c r="D17" s="345"/>
      <c r="E17" s="129" t="s">
        <v>33</v>
      </c>
      <c r="F17" s="235">
        <v>38725.082069720804</v>
      </c>
      <c r="G17" s="235">
        <v>74328.041754477395</v>
      </c>
      <c r="H17" s="235">
        <v>140154.0101823009</v>
      </c>
      <c r="I17" s="236"/>
      <c r="J17" s="237">
        <v>6078.8808702843926</v>
      </c>
      <c r="K17" s="238"/>
      <c r="L17" s="235">
        <v>20559.400695091972</v>
      </c>
      <c r="M17" s="235">
        <v>11058.833320096655</v>
      </c>
      <c r="N17" s="235">
        <v>8783.84</v>
      </c>
      <c r="O17" s="131">
        <v>299688.08889197215</v>
      </c>
      <c r="P17" s="44">
        <f xml:space="preserve"> O17 - '[11]סיכום עלויות חודשי - צמוד 01.17'!O17</f>
        <v>22421.050620073336</v>
      </c>
    </row>
    <row r="18" spans="1:16">
      <c r="A18" s="331" t="s">
        <v>2</v>
      </c>
      <c r="B18" s="388">
        <v>3046.36</v>
      </c>
      <c r="C18" s="337">
        <v>0.11153385966993394</v>
      </c>
      <c r="D18" s="340">
        <v>529.4375</v>
      </c>
      <c r="E18" s="30" t="s">
        <v>69</v>
      </c>
      <c r="F18" s="231"/>
      <c r="G18" s="231"/>
      <c r="H18" s="231"/>
      <c r="I18" s="232"/>
      <c r="J18" s="233"/>
      <c r="K18" s="234"/>
      <c r="L18" s="231">
        <v>5194.8966103670427</v>
      </c>
      <c r="M18" s="231">
        <v>1645.4687350347747</v>
      </c>
      <c r="N18" s="231"/>
      <c r="O18" s="127">
        <v>6840.3653454018176</v>
      </c>
      <c r="P18" s="44">
        <f xml:space="preserve"> O18 - '[11]סיכום עלויות חודשי - צמוד 01.17'!O18</f>
        <v>0</v>
      </c>
    </row>
    <row r="19" spans="1:16">
      <c r="A19" s="332"/>
      <c r="B19" s="389"/>
      <c r="C19" s="338"/>
      <c r="D19" s="341"/>
      <c r="E19" s="30" t="s">
        <v>66</v>
      </c>
      <c r="F19" s="231"/>
      <c r="G19" s="231">
        <v>1642.3161252179473</v>
      </c>
      <c r="H19" s="231">
        <v>22662.419905025636</v>
      </c>
      <c r="I19" s="232"/>
      <c r="J19" s="233"/>
      <c r="K19" s="275"/>
      <c r="L19" s="231"/>
      <c r="M19" s="231"/>
      <c r="N19" s="276"/>
      <c r="O19" s="127">
        <v>24304.736030243585</v>
      </c>
      <c r="P19" s="44">
        <f xml:space="preserve"> O19 - '[11]סיכום עלויות חודשי - צמוד 01.17'!O19</f>
        <v>1779.3831063979887</v>
      </c>
    </row>
    <row r="20" spans="1:16">
      <c r="A20" s="332"/>
      <c r="B20" s="389"/>
      <c r="C20" s="338"/>
      <c r="D20" s="341"/>
      <c r="E20" s="30" t="s">
        <v>67</v>
      </c>
      <c r="F20" s="231">
        <v>3194.9294069180396</v>
      </c>
      <c r="G20" s="231">
        <v>5596.0348217512919</v>
      </c>
      <c r="H20" s="231">
        <v>1793.9330064238588</v>
      </c>
      <c r="I20" s="232"/>
      <c r="J20" s="233">
        <v>501.524960454736</v>
      </c>
      <c r="K20" s="234"/>
      <c r="L20" s="231"/>
      <c r="M20" s="231"/>
      <c r="N20" s="231"/>
      <c r="O20" s="127">
        <v>11086.422195547924</v>
      </c>
      <c r="P20" s="44">
        <f xml:space="preserve"> O20 - '[11]סיכום עלויות חודשי - צמוד 01.17'!O20</f>
        <v>218.90288889122712</v>
      </c>
    </row>
    <row r="21" spans="1:16">
      <c r="A21" s="332"/>
      <c r="B21" s="389"/>
      <c r="C21" s="338"/>
      <c r="D21" s="341"/>
      <c r="E21" s="30" t="s">
        <v>68</v>
      </c>
      <c r="F21" s="231">
        <v>6590.0249584201965</v>
      </c>
      <c r="G21" s="231">
        <v>11542.66791112094</v>
      </c>
      <c r="H21" s="231">
        <v>3700.2580590571024</v>
      </c>
      <c r="I21" s="232"/>
      <c r="J21" s="233">
        <v>1034.4710588944156</v>
      </c>
      <c r="K21" s="234"/>
      <c r="L21" s="231"/>
      <c r="M21" s="231"/>
      <c r="N21" s="231"/>
      <c r="O21" s="127">
        <v>22867.421987492653</v>
      </c>
      <c r="P21" s="44">
        <f xml:space="preserve"> O21 - '[11]סיכום עלויות חודשי - צמוד 01.17'!O21</f>
        <v>1940.7046853597021</v>
      </c>
    </row>
    <row r="22" spans="1:16">
      <c r="A22" s="333"/>
      <c r="B22" s="390"/>
      <c r="C22" s="339"/>
      <c r="D22" s="342"/>
      <c r="E22" s="129" t="s">
        <v>33</v>
      </c>
      <c r="F22" s="235">
        <v>9784.9543653382352</v>
      </c>
      <c r="G22" s="235">
        <v>18781.018858090178</v>
      </c>
      <c r="H22" s="235">
        <v>28156.610970506597</v>
      </c>
      <c r="I22" s="236"/>
      <c r="J22" s="237">
        <v>1535.9960193491515</v>
      </c>
      <c r="K22" s="238"/>
      <c r="L22" s="235">
        <v>5194.8966103670427</v>
      </c>
      <c r="M22" s="235">
        <v>1645.4687350347747</v>
      </c>
      <c r="N22" s="235"/>
      <c r="O22" s="131">
        <v>65098.945558685977</v>
      </c>
      <c r="P22" s="44">
        <f xml:space="preserve"> O22 - '[11]סיכום עלויות חודשי - צמוד 01.17'!O22</f>
        <v>3938.9906806489162</v>
      </c>
    </row>
    <row r="23" spans="1:16">
      <c r="A23" s="331" t="s">
        <v>3</v>
      </c>
      <c r="B23" s="388">
        <v>6565</v>
      </c>
      <c r="C23" s="337">
        <v>0.24035891645541443</v>
      </c>
      <c r="D23" s="340">
        <v>1816.75</v>
      </c>
      <c r="E23" s="30" t="s">
        <v>69</v>
      </c>
      <c r="F23" s="231"/>
      <c r="G23" s="231"/>
      <c r="H23" s="231"/>
      <c r="I23" s="232"/>
      <c r="J23" s="233"/>
      <c r="K23" s="234"/>
      <c r="L23" s="231">
        <v>11195.162832711707</v>
      </c>
      <c r="M23" s="231">
        <v>3440.9782479757137</v>
      </c>
      <c r="N23" s="231"/>
      <c r="O23" s="127">
        <v>14636.141080687421</v>
      </c>
      <c r="P23" s="44">
        <f xml:space="preserve"> O23 - '[11]סיכום עלויות חודשי - צמוד 01.17'!O23</f>
        <v>0</v>
      </c>
    </row>
    <row r="24" spans="1:16">
      <c r="A24" s="332"/>
      <c r="B24" s="389"/>
      <c r="C24" s="338"/>
      <c r="D24" s="341"/>
      <c r="E24" s="30" t="s">
        <v>66</v>
      </c>
      <c r="F24" s="231"/>
      <c r="G24" s="231">
        <v>3539.2420337897765</v>
      </c>
      <c r="H24" s="231">
        <v>77765.461196940756</v>
      </c>
      <c r="I24" s="232"/>
      <c r="J24" s="233"/>
      <c r="K24" s="275"/>
      <c r="L24" s="231"/>
      <c r="M24" s="231"/>
      <c r="N24" s="276"/>
      <c r="O24" s="127">
        <v>81304.703230730534</v>
      </c>
      <c r="P24" s="44">
        <f xml:space="preserve"> O24 - '[11]סיכום עלויות חודשי - צמוד 01.17'!O24</f>
        <v>5952.4289924169861</v>
      </c>
    </row>
    <row r="25" spans="1:16">
      <c r="A25" s="332"/>
      <c r="B25" s="389"/>
      <c r="C25" s="338"/>
      <c r="D25" s="341"/>
      <c r="E25" s="30" t="s">
        <v>67</v>
      </c>
      <c r="F25" s="231">
        <v>6885.1716659938184</v>
      </c>
      <c r="G25" s="231">
        <v>12059.628082300591</v>
      </c>
      <c r="H25" s="231">
        <v>4885.7530033222611</v>
      </c>
      <c r="I25" s="232"/>
      <c r="J25" s="233">
        <v>1080.8017980098678</v>
      </c>
      <c r="K25" s="234"/>
      <c r="L25" s="231"/>
      <c r="M25" s="231"/>
      <c r="N25" s="231"/>
      <c r="O25" s="127">
        <v>24911.354549626536</v>
      </c>
      <c r="P25" s="44">
        <f xml:space="preserve"> O25 - '[11]סיכום עלויות חודשי - צמוד 01.17'!O25</f>
        <v>491.87802709666721</v>
      </c>
    </row>
    <row r="26" spans="1:16">
      <c r="A26" s="332"/>
      <c r="B26" s="389"/>
      <c r="C26" s="338"/>
      <c r="D26" s="341"/>
      <c r="E26" s="30" t="s">
        <v>68</v>
      </c>
      <c r="F26" s="231">
        <v>14201.707563133898</v>
      </c>
      <c r="G26" s="231">
        <v>24874.80627257087</v>
      </c>
      <c r="H26" s="231">
        <v>10077.604269707137</v>
      </c>
      <c r="I26" s="232"/>
      <c r="J26" s="233">
        <v>2229.3171199864223</v>
      </c>
      <c r="K26" s="234"/>
      <c r="L26" s="231"/>
      <c r="M26" s="231"/>
      <c r="N26" s="231"/>
      <c r="O26" s="127">
        <v>51383.435225398331</v>
      </c>
      <c r="P26" s="44">
        <f xml:space="preserve"> O26 - '[11]סיכום עלויות חודשי - צמוד 01.17'!O26</f>
        <v>4360.7921149288086</v>
      </c>
    </row>
    <row r="27" spans="1:16">
      <c r="A27" s="333"/>
      <c r="B27" s="390"/>
      <c r="C27" s="339"/>
      <c r="D27" s="342"/>
      <c r="E27" s="129" t="s">
        <v>33</v>
      </c>
      <c r="F27" s="235">
        <v>21086.879229127717</v>
      </c>
      <c r="G27" s="235">
        <v>40473.676388661239</v>
      </c>
      <c r="H27" s="235">
        <v>92728.818469970152</v>
      </c>
      <c r="I27" s="236"/>
      <c r="J27" s="237">
        <v>3310.1189179962903</v>
      </c>
      <c r="K27" s="238"/>
      <c r="L27" s="235">
        <v>11195.162832711707</v>
      </c>
      <c r="M27" s="235">
        <v>3440.9782479757137</v>
      </c>
      <c r="N27" s="235"/>
      <c r="O27" s="131">
        <v>172235.63408644285</v>
      </c>
      <c r="P27" s="44">
        <f xml:space="preserve"> O27 - '[11]סיכום עלויות חודשי - צמוד 01.17'!O27</f>
        <v>10805.099134442484</v>
      </c>
    </row>
    <row r="28" spans="1:16">
      <c r="A28" s="331" t="s">
        <v>4</v>
      </c>
      <c r="B28" s="388">
        <v>4521</v>
      </c>
      <c r="C28" s="337">
        <v>0.16552363462222827</v>
      </c>
      <c r="D28" s="340">
        <v>516</v>
      </c>
      <c r="E28" s="30" t="s">
        <v>69</v>
      </c>
      <c r="F28" s="231"/>
      <c r="G28" s="231"/>
      <c r="H28" s="231"/>
      <c r="I28" s="232"/>
      <c r="J28" s="233"/>
      <c r="K28" s="234"/>
      <c r="L28" s="231">
        <v>7709.570627066204</v>
      </c>
      <c r="M28" s="231">
        <v>2369.6363532518199</v>
      </c>
      <c r="N28" s="231"/>
      <c r="O28" s="127">
        <v>10079.206980318024</v>
      </c>
      <c r="P28" s="44">
        <f xml:space="preserve"> O28 - '[11]סיכום עלויות חודשי - צמוד 01.17'!O28</f>
        <v>0</v>
      </c>
    </row>
    <row r="29" spans="1:16">
      <c r="A29" s="332"/>
      <c r="B29" s="389"/>
      <c r="C29" s="338"/>
      <c r="D29" s="341"/>
      <c r="E29" s="30" t="s">
        <v>66</v>
      </c>
      <c r="F29" s="231"/>
      <c r="G29" s="231">
        <v>2437.3059001924721</v>
      </c>
      <c r="H29" s="231">
        <v>22087.231582563058</v>
      </c>
      <c r="I29" s="232"/>
      <c r="J29" s="233"/>
      <c r="K29" s="275"/>
      <c r="L29" s="231"/>
      <c r="M29" s="231"/>
      <c r="N29" s="276"/>
      <c r="O29" s="127">
        <v>24524.537482755528</v>
      </c>
      <c r="P29" s="44">
        <f xml:space="preserve"> O29 - '[11]סיכום עלויות חודשי - צמוד 01.17'!O29</f>
        <v>1795.4750726252569</v>
      </c>
    </row>
    <row r="30" spans="1:16">
      <c r="A30" s="332"/>
      <c r="B30" s="389"/>
      <c r="C30" s="338"/>
      <c r="D30" s="341"/>
      <c r="E30" s="30" t="s">
        <v>67</v>
      </c>
      <c r="F30" s="231">
        <v>4741.4868395975727</v>
      </c>
      <c r="G30" s="231">
        <v>8304.886300088494</v>
      </c>
      <c r="H30" s="231">
        <v>1728.7531791568183</v>
      </c>
      <c r="I30" s="232"/>
      <c r="J30" s="233">
        <v>744.29625724335335</v>
      </c>
      <c r="K30" s="234"/>
      <c r="L30" s="231"/>
      <c r="M30" s="231"/>
      <c r="N30" s="231"/>
      <c r="O30" s="127">
        <v>15519.422576086239</v>
      </c>
      <c r="P30" s="44">
        <f xml:space="preserve"> O30 - '[11]סיכום עלויות חודשי - צמוד 01.17'!O30</f>
        <v>306.43307425125022</v>
      </c>
    </row>
    <row r="31" spans="1:16">
      <c r="A31" s="332"/>
      <c r="B31" s="389"/>
      <c r="C31" s="338"/>
      <c r="D31" s="341"/>
      <c r="E31" s="30" t="s">
        <v>68</v>
      </c>
      <c r="F31" s="231">
        <v>9780.0334947339452</v>
      </c>
      <c r="G31" s="231">
        <v>17130.083649397238</v>
      </c>
      <c r="H31" s="231">
        <v>3565.8148104691281</v>
      </c>
      <c r="I31" s="232"/>
      <c r="J31" s="233">
        <v>1535.2235642739706</v>
      </c>
      <c r="K31" s="234"/>
      <c r="L31" s="231"/>
      <c r="M31" s="231"/>
      <c r="N31" s="231"/>
      <c r="O31" s="127">
        <v>32011.155518874279</v>
      </c>
      <c r="P31" s="44">
        <f xml:space="preserve"> O31 - '[11]סיכום עלויות חודשי - צמוד 01.17'!O31</f>
        <v>2716.7119902381746</v>
      </c>
    </row>
    <row r="32" spans="1:16">
      <c r="A32" s="333"/>
      <c r="B32" s="390"/>
      <c r="C32" s="339"/>
      <c r="D32" s="342"/>
      <c r="E32" s="129" t="s">
        <v>33</v>
      </c>
      <c r="F32" s="235">
        <v>14521.520334331519</v>
      </c>
      <c r="G32" s="235">
        <v>27872.275849678204</v>
      </c>
      <c r="H32" s="235">
        <v>27381.799572189004</v>
      </c>
      <c r="I32" s="236"/>
      <c r="J32" s="237">
        <v>2279.5198215173241</v>
      </c>
      <c r="K32" s="238"/>
      <c r="L32" s="235">
        <v>7709.570627066204</v>
      </c>
      <c r="M32" s="235">
        <v>2369.6363532518199</v>
      </c>
      <c r="N32" s="235"/>
      <c r="O32" s="131">
        <v>82134.32255803408</v>
      </c>
      <c r="P32" s="44">
        <f xml:space="preserve"> O32 - '[11]סיכום עלויות חודשי - צמוד 01.17'!O32</f>
        <v>4818.620137114689</v>
      </c>
    </row>
    <row r="33" spans="1:16">
      <c r="A33" s="331" t="s">
        <v>5</v>
      </c>
      <c r="B33" s="388">
        <v>231</v>
      </c>
      <c r="C33" s="337">
        <v>8.4574119879970659E-3</v>
      </c>
      <c r="D33" s="340">
        <v>0</v>
      </c>
      <c r="E33" s="30" t="s">
        <v>69</v>
      </c>
      <c r="F33" s="231"/>
      <c r="G33" s="231"/>
      <c r="H33" s="231"/>
      <c r="I33" s="232"/>
      <c r="J33" s="233"/>
      <c r="K33" s="234"/>
      <c r="L33" s="231">
        <v>393.91966707637539</v>
      </c>
      <c r="M33" s="231">
        <v>121.07631002016599</v>
      </c>
      <c r="N33" s="231"/>
      <c r="O33" s="127">
        <v>514.99597709654142</v>
      </c>
      <c r="P33" s="44">
        <f xml:space="preserve"> O33 - '[11]סיכום עלויות חודשי - צמוד 01.17'!O33</f>
        <v>0</v>
      </c>
    </row>
    <row r="34" spans="1:16">
      <c r="A34" s="332"/>
      <c r="B34" s="389"/>
      <c r="C34" s="338"/>
      <c r="D34" s="341"/>
      <c r="E34" s="30" t="s">
        <v>66</v>
      </c>
      <c r="F34" s="231"/>
      <c r="G34" s="231">
        <v>124.53387811202413</v>
      </c>
      <c r="H34" s="231"/>
      <c r="I34" s="232"/>
      <c r="J34" s="233"/>
      <c r="K34" s="275"/>
      <c r="L34" s="231"/>
      <c r="M34" s="231"/>
      <c r="N34" s="276"/>
      <c r="O34" s="127">
        <v>124.53387811202413</v>
      </c>
      <c r="P34" s="44">
        <f xml:space="preserve"> O34 - '[11]סיכום עלויות חודשי - צמוד 01.17'!O34</f>
        <v>9.1172962590921429</v>
      </c>
    </row>
    <row r="35" spans="1:16">
      <c r="A35" s="332"/>
      <c r="B35" s="389"/>
      <c r="C35" s="338"/>
      <c r="D35" s="341"/>
      <c r="E35" s="30" t="s">
        <v>67</v>
      </c>
      <c r="F35" s="231">
        <v>242.26575092834307</v>
      </c>
      <c r="G35" s="231">
        <v>424.33725620890101</v>
      </c>
      <c r="H35" s="231"/>
      <c r="I35" s="232"/>
      <c r="J35" s="233">
        <v>38.029735771558187</v>
      </c>
      <c r="K35" s="234"/>
      <c r="L35" s="231"/>
      <c r="M35" s="231"/>
      <c r="N35" s="231"/>
      <c r="O35" s="127">
        <v>704.63274290880224</v>
      </c>
      <c r="P35" s="44">
        <f xml:space="preserve"> O35 - '[11]סיכום עלויות חודשי - צמוד 01.17'!O35</f>
        <v>13.913067742632734</v>
      </c>
    </row>
    <row r="36" spans="1:16">
      <c r="A36" s="332"/>
      <c r="B36" s="389"/>
      <c r="C36" s="338"/>
      <c r="D36" s="341"/>
      <c r="E36" s="30" t="s">
        <v>68</v>
      </c>
      <c r="F36" s="231">
        <v>499.70974060684404</v>
      </c>
      <c r="G36" s="231">
        <v>875.25974850934779</v>
      </c>
      <c r="H36" s="231"/>
      <c r="I36" s="232"/>
      <c r="J36" s="233">
        <v>78.44207992640726</v>
      </c>
      <c r="K36" s="234"/>
      <c r="L36" s="231"/>
      <c r="M36" s="231"/>
      <c r="N36" s="231"/>
      <c r="O36" s="127">
        <v>1453.4115690425992</v>
      </c>
      <c r="P36" s="44">
        <f xml:space="preserve"> O36 - '[11]סיכום עלויות חודשי - צמוד 01.17'!O36</f>
        <v>123.34764466846013</v>
      </c>
    </row>
    <row r="37" spans="1:16">
      <c r="A37" s="333"/>
      <c r="B37" s="390"/>
      <c r="C37" s="339"/>
      <c r="D37" s="342"/>
      <c r="E37" s="129" t="s">
        <v>33</v>
      </c>
      <c r="F37" s="235">
        <v>741.97549153518707</v>
      </c>
      <c r="G37" s="235">
        <v>1424.1308828302731</v>
      </c>
      <c r="H37" s="235"/>
      <c r="I37" s="236"/>
      <c r="J37" s="237">
        <v>116.47181569796544</v>
      </c>
      <c r="K37" s="238"/>
      <c r="L37" s="235">
        <v>393.91966707637539</v>
      </c>
      <c r="M37" s="235">
        <v>121.07631002016599</v>
      </c>
      <c r="N37" s="235"/>
      <c r="O37" s="131">
        <v>2797.5741671599671</v>
      </c>
      <c r="P37" s="44">
        <f xml:space="preserve"> O37 - '[11]סיכום עלויות חודשי - צמוד 01.17'!O37</f>
        <v>146.37800867018495</v>
      </c>
    </row>
    <row r="38" spans="1:16">
      <c r="A38" s="331" t="s">
        <v>26</v>
      </c>
      <c r="B38" s="388">
        <v>893.64</v>
      </c>
      <c r="C38" s="337">
        <v>3.2718102376422933E-2</v>
      </c>
      <c r="D38" s="340">
        <v>161.25</v>
      </c>
      <c r="E38" s="30" t="s">
        <v>69</v>
      </c>
      <c r="F38" s="231"/>
      <c r="G38" s="231"/>
      <c r="H38" s="231"/>
      <c r="I38" s="232"/>
      <c r="J38" s="233"/>
      <c r="K38" s="234"/>
      <c r="L38" s="231">
        <v>1523.9063692040352</v>
      </c>
      <c r="M38" s="231">
        <v>468.39235362087067</v>
      </c>
      <c r="N38" s="231"/>
      <c r="O38" s="127">
        <v>1992.2987228249058</v>
      </c>
      <c r="P38" s="44">
        <f xml:space="preserve"> O38 - '[11]סיכום עלויות חודשי - צמוד 01.17'!O38</f>
        <v>0</v>
      </c>
    </row>
    <row r="39" spans="1:16">
      <c r="A39" s="332"/>
      <c r="B39" s="389"/>
      <c r="C39" s="338"/>
      <c r="D39" s="341"/>
      <c r="E39" s="30" t="s">
        <v>66</v>
      </c>
      <c r="F39" s="231"/>
      <c r="G39" s="231">
        <v>481.76820275337337</v>
      </c>
      <c r="H39" s="231">
        <v>6902.259869550955</v>
      </c>
      <c r="I39" s="232"/>
      <c r="J39" s="233"/>
      <c r="K39" s="275"/>
      <c r="L39" s="231"/>
      <c r="M39" s="231"/>
      <c r="N39" s="276"/>
      <c r="O39" s="127">
        <v>7384.0280723043288</v>
      </c>
      <c r="P39" s="44">
        <f xml:space="preserve"> O39 - '[11]סיכום עלויות חודשי - צמוד 01.17'!O39</f>
        <v>540.59483685308442</v>
      </c>
    </row>
    <row r="40" spans="1:16">
      <c r="A40" s="332"/>
      <c r="B40" s="389"/>
      <c r="C40" s="338"/>
      <c r="D40" s="341"/>
      <c r="E40" s="30" t="s">
        <v>67</v>
      </c>
      <c r="F40" s="231">
        <v>937.22236216278986</v>
      </c>
      <c r="G40" s="231">
        <v>1641.5789854481484</v>
      </c>
      <c r="H40" s="231">
        <v>795.18229763194051</v>
      </c>
      <c r="I40" s="232"/>
      <c r="J40" s="233">
        <v>147.1207492419708</v>
      </c>
      <c r="K40" s="234"/>
      <c r="L40" s="231"/>
      <c r="M40" s="231"/>
      <c r="N40" s="231"/>
      <c r="O40" s="127">
        <v>3521.1043944848493</v>
      </c>
      <c r="P40" s="44">
        <f xml:space="preserve"> O40 - '[11]סיכום עלויות חודשי - צמוד 01.17'!O40</f>
        <v>69.524677163192791</v>
      </c>
    </row>
    <row r="41" spans="1:16">
      <c r="A41" s="332"/>
      <c r="B41" s="389"/>
      <c r="C41" s="338"/>
      <c r="D41" s="341"/>
      <c r="E41" s="30" t="s">
        <v>68</v>
      </c>
      <c r="F41" s="231">
        <v>1933.1628250904762</v>
      </c>
      <c r="G41" s="231">
        <v>3386.0048556618767</v>
      </c>
      <c r="H41" s="231">
        <v>1640.1837162791603</v>
      </c>
      <c r="I41" s="232"/>
      <c r="J41" s="233">
        <v>303.45878920101541</v>
      </c>
      <c r="K41" s="234"/>
      <c r="L41" s="231"/>
      <c r="M41" s="231"/>
      <c r="N41" s="231"/>
      <c r="O41" s="127">
        <v>7262.8101862325275</v>
      </c>
      <c r="P41" s="44">
        <f xml:space="preserve"> O41 - '[11]סיכום עלויות חודשי - צמוד 01.17'!O41</f>
        <v>616.37773444723553</v>
      </c>
    </row>
    <row r="42" spans="1:16">
      <c r="A42" s="333"/>
      <c r="B42" s="390"/>
      <c r="C42" s="339"/>
      <c r="D42" s="342"/>
      <c r="E42" s="129" t="s">
        <v>33</v>
      </c>
      <c r="F42" s="235">
        <v>2870.3851872532659</v>
      </c>
      <c r="G42" s="235">
        <v>5509.3520438633986</v>
      </c>
      <c r="H42" s="235">
        <v>9337.6258834620567</v>
      </c>
      <c r="I42" s="236"/>
      <c r="J42" s="237">
        <v>450.57953844298618</v>
      </c>
      <c r="K42" s="238"/>
      <c r="L42" s="235">
        <v>1523.9063692040352</v>
      </c>
      <c r="M42" s="235">
        <v>468.39235362087067</v>
      </c>
      <c r="N42" s="235"/>
      <c r="O42" s="131">
        <v>20160.241375846617</v>
      </c>
      <c r="P42" s="44">
        <f xml:space="preserve"> O42 - '[11]סיכום עלויות חודשי - צמוד 01.17'!O42</f>
        <v>1226.4972484635182</v>
      </c>
    </row>
    <row r="43" spans="1:16">
      <c r="A43" s="319" t="s">
        <v>6</v>
      </c>
      <c r="B43" s="397">
        <v>27313.32</v>
      </c>
      <c r="C43" s="325">
        <v>1</v>
      </c>
      <c r="D43" s="328">
        <v>6108.6875</v>
      </c>
      <c r="E43" s="84" t="s">
        <v>69</v>
      </c>
      <c r="F43" s="226">
        <v>0</v>
      </c>
      <c r="G43" s="226">
        <v>0</v>
      </c>
      <c r="H43" s="226">
        <v>0</v>
      </c>
      <c r="I43" s="227"/>
      <c r="J43" s="228">
        <v>0</v>
      </c>
      <c r="K43" s="229"/>
      <c r="L43" s="226">
        <v>46576.856801517337</v>
      </c>
      <c r="M43" s="226">
        <v>19104.385320000001</v>
      </c>
      <c r="N43" s="226">
        <v>8783.84</v>
      </c>
      <c r="O43" s="126">
        <v>74465.082121517335</v>
      </c>
      <c r="P43" s="44">
        <f xml:space="preserve"> O43 - '[11]סיכום עלויות חודשי - צמוד 01.17'!O43</f>
        <v>4739.6353200000012</v>
      </c>
    </row>
    <row r="44" spans="1:16">
      <c r="A44" s="320"/>
      <c r="B44" s="398"/>
      <c r="C44" s="326"/>
      <c r="D44" s="329"/>
      <c r="E44" s="84" t="s">
        <v>66</v>
      </c>
      <c r="F44" s="226">
        <v>0</v>
      </c>
      <c r="G44" s="226">
        <v>14724.821055042039</v>
      </c>
      <c r="H44" s="226">
        <v>246755.79033644666</v>
      </c>
      <c r="I44" s="227"/>
      <c r="J44" s="228">
        <v>0</v>
      </c>
      <c r="K44" s="229"/>
      <c r="L44" s="226">
        <v>0</v>
      </c>
      <c r="M44" s="226">
        <v>0</v>
      </c>
      <c r="N44" s="226">
        <v>0</v>
      </c>
      <c r="O44" s="126">
        <v>261480.61139148867</v>
      </c>
      <c r="P44" s="44">
        <f xml:space="preserve"> O44 - '[11]סיכום עלויות חודשי - צמוד 01.17'!O44</f>
        <v>19143.354693573579</v>
      </c>
    </row>
    <row r="45" spans="1:16">
      <c r="A45" s="320"/>
      <c r="B45" s="398"/>
      <c r="C45" s="326"/>
      <c r="D45" s="329"/>
      <c r="E45" s="84" t="s">
        <v>67</v>
      </c>
      <c r="F45" s="226">
        <v>28645.376537429136</v>
      </c>
      <c r="G45" s="226">
        <v>50173.416739202185</v>
      </c>
      <c r="H45" s="226">
        <v>16653.243055851955</v>
      </c>
      <c r="I45" s="227"/>
      <c r="J45" s="228">
        <v>4496.6162019221456</v>
      </c>
      <c r="K45" s="229"/>
      <c r="L45" s="226">
        <v>0</v>
      </c>
      <c r="M45" s="226">
        <v>0</v>
      </c>
      <c r="N45" s="226">
        <v>0</v>
      </c>
      <c r="O45" s="126">
        <v>99968.65253440541</v>
      </c>
      <c r="P45" s="44">
        <f xml:space="preserve"> O45 - '[11]סיכום עלויות חודשי - צמוד 01.17'!O45</f>
        <v>1973.8944135766651</v>
      </c>
    </row>
    <row r="46" spans="1:16">
      <c r="A46" s="320"/>
      <c r="B46" s="398"/>
      <c r="C46" s="326"/>
      <c r="D46" s="329"/>
      <c r="E46" s="84" t="s">
        <v>68</v>
      </c>
      <c r="F46" s="226">
        <v>59085.420139877584</v>
      </c>
      <c r="G46" s="226">
        <v>103490.25798335645</v>
      </c>
      <c r="H46" s="226">
        <v>34349.831686130121</v>
      </c>
      <c r="I46" s="227"/>
      <c r="J46" s="228">
        <v>9274.9507813659638</v>
      </c>
      <c r="K46" s="229"/>
      <c r="L46" s="226">
        <v>0</v>
      </c>
      <c r="M46" s="226">
        <v>0</v>
      </c>
      <c r="N46" s="226">
        <v>0</v>
      </c>
      <c r="O46" s="126">
        <v>206200.46059073016</v>
      </c>
      <c r="P46" s="44">
        <f xml:space="preserve"> O46 - '[11]סיכום עלויות חודשי - צמוד 01.17'!O46</f>
        <v>17499.751402262802</v>
      </c>
    </row>
    <row r="47" spans="1:16">
      <c r="A47" s="321"/>
      <c r="B47" s="399"/>
      <c r="C47" s="327"/>
      <c r="D47" s="330"/>
      <c r="E47" s="84" t="s">
        <v>33</v>
      </c>
      <c r="F47" s="226">
        <v>87730.796677306716</v>
      </c>
      <c r="G47" s="226">
        <v>168388.49577760068</v>
      </c>
      <c r="H47" s="226">
        <v>297758.86507842876</v>
      </c>
      <c r="I47" s="227"/>
      <c r="J47" s="228">
        <v>13771.56698328811</v>
      </c>
      <c r="K47" s="229"/>
      <c r="L47" s="226">
        <v>46576.856801517337</v>
      </c>
      <c r="M47" s="226">
        <v>19104.385320000001</v>
      </c>
      <c r="N47" s="226">
        <v>8783.84</v>
      </c>
      <c r="O47" s="126">
        <v>642114.80663814151</v>
      </c>
      <c r="P47" s="44">
        <f xml:space="preserve"> O47 - '[11]סיכום עלויות חודשי - צמוד 01.17'!O47</f>
        <v>43356.63582941296</v>
      </c>
    </row>
    <row r="48" spans="1:16" ht="15">
      <c r="A48" s="87" t="s">
        <v>36</v>
      </c>
      <c r="B48" s="88" t="s">
        <v>21</v>
      </c>
      <c r="C48" s="9" t="s">
        <v>230</v>
      </c>
      <c r="D48" s="83">
        <v>1300.75</v>
      </c>
      <c r="E48" s="30"/>
      <c r="F48" s="231"/>
      <c r="G48" s="231"/>
      <c r="H48" s="231"/>
      <c r="I48" s="232"/>
      <c r="J48" s="233"/>
      <c r="K48" s="275"/>
      <c r="L48" s="231"/>
      <c r="M48" s="231"/>
      <c r="N48" s="231"/>
      <c r="O48" s="127">
        <v>0</v>
      </c>
      <c r="P48" s="44">
        <f xml:space="preserve"> O48 - '[11]סיכום עלויות חודשי - צמוד 01.17'!O48</f>
        <v>0</v>
      </c>
    </row>
    <row r="49" spans="1:16">
      <c r="A49" s="331" t="s">
        <v>7</v>
      </c>
      <c r="B49" s="388">
        <v>250</v>
      </c>
      <c r="C49" s="337">
        <v>8.6595081399376522E-2</v>
      </c>
      <c r="D49" s="340">
        <v>112.63855213023901</v>
      </c>
      <c r="E49" s="30" t="s">
        <v>69</v>
      </c>
      <c r="F49" s="231"/>
      <c r="G49" s="231"/>
      <c r="H49" s="231"/>
      <c r="I49" s="232"/>
      <c r="J49" s="233"/>
      <c r="K49" s="234"/>
      <c r="L49" s="231">
        <v>426.31998601339325</v>
      </c>
      <c r="M49" s="231">
        <v>426.15274089019744</v>
      </c>
      <c r="N49" s="231"/>
      <c r="O49" s="127">
        <v>852.47272690359068</v>
      </c>
      <c r="P49" s="44">
        <f xml:space="preserve"> O49 - '[11]סיכום עלויות חודשי - צמוד 01.17'!O49</f>
        <v>139.34983129546242</v>
      </c>
    </row>
    <row r="50" spans="1:16">
      <c r="A50" s="332"/>
      <c r="B50" s="389"/>
      <c r="C50" s="338"/>
      <c r="D50" s="341"/>
      <c r="E50" s="30" t="s">
        <v>66</v>
      </c>
      <c r="F50" s="231"/>
      <c r="G50" s="231"/>
      <c r="H50" s="231"/>
      <c r="I50" s="232">
        <v>4821.4608256302135</v>
      </c>
      <c r="J50" s="233"/>
      <c r="K50" s="234"/>
      <c r="L50" s="231"/>
      <c r="M50" s="231"/>
      <c r="N50" s="231"/>
      <c r="O50" s="127">
        <v>4821.4608256302135</v>
      </c>
      <c r="P50" s="44">
        <f xml:space="preserve"> O50 - '[11]סיכום עלויות חודשי - צמוד 01.17'!O50</f>
        <v>352.9857691361276</v>
      </c>
    </row>
    <row r="51" spans="1:16">
      <c r="A51" s="332"/>
      <c r="B51" s="389"/>
      <c r="C51" s="338"/>
      <c r="D51" s="341"/>
      <c r="E51" s="30" t="s">
        <v>67</v>
      </c>
      <c r="F51" s="231">
        <v>262.19237113457046</v>
      </c>
      <c r="G51" s="231"/>
      <c r="H51" s="231"/>
      <c r="I51" s="232">
        <v>893.0965386022483</v>
      </c>
      <c r="J51" s="233"/>
      <c r="K51" s="234">
        <v>299.33374939723723</v>
      </c>
      <c r="L51" s="231"/>
      <c r="M51" s="231"/>
      <c r="N51" s="231"/>
      <c r="O51" s="127">
        <v>1454.622659134056</v>
      </c>
      <c r="P51" s="44">
        <f xml:space="preserve"> O51 - '[11]סיכום עלויות חודשי - צמוד 01.17'!O51</f>
        <v>28.721718938230197</v>
      </c>
    </row>
    <row r="52" spans="1:16">
      <c r="A52" s="332"/>
      <c r="B52" s="389"/>
      <c r="C52" s="338"/>
      <c r="D52" s="341"/>
      <c r="E52" s="30" t="s">
        <v>68</v>
      </c>
      <c r="F52" s="231">
        <v>540.81140758316451</v>
      </c>
      <c r="G52" s="231"/>
      <c r="H52" s="231"/>
      <c r="I52" s="232">
        <v>1842.1466424026328</v>
      </c>
      <c r="J52" s="233"/>
      <c r="K52" s="234">
        <v>617.42111583246412</v>
      </c>
      <c r="L52" s="231"/>
      <c r="M52" s="231"/>
      <c r="N52" s="231"/>
      <c r="O52" s="127">
        <v>3000.3791658182618</v>
      </c>
      <c r="P52" s="44">
        <f xml:space="preserve"> O52 - '[11]סיכום עלויות חודשי - צמוד 01.17'!O52</f>
        <v>254.63517086202137</v>
      </c>
    </row>
    <row r="53" spans="1:16">
      <c r="A53" s="333"/>
      <c r="B53" s="390"/>
      <c r="C53" s="339"/>
      <c r="D53" s="342"/>
      <c r="E53" s="129" t="s">
        <v>33</v>
      </c>
      <c r="F53" s="235">
        <v>803.00377871773503</v>
      </c>
      <c r="G53" s="235"/>
      <c r="H53" s="235"/>
      <c r="I53" s="236">
        <v>7556.7040066350946</v>
      </c>
      <c r="J53" s="237"/>
      <c r="K53" s="238">
        <v>916.75486522970141</v>
      </c>
      <c r="L53" s="235">
        <v>426.31998601339325</v>
      </c>
      <c r="M53" s="235">
        <v>426.15274089019744</v>
      </c>
      <c r="N53" s="235"/>
      <c r="O53" s="131">
        <v>10128.935377486121</v>
      </c>
      <c r="P53" s="44">
        <f xml:space="preserve"> O53 - '[11]סיכום עלויות חודשי - צמוד 01.17'!O53</f>
        <v>775.69249023184057</v>
      </c>
    </row>
    <row r="54" spans="1:16">
      <c r="A54" s="331" t="s">
        <v>8</v>
      </c>
      <c r="B54" s="388">
        <v>255</v>
      </c>
      <c r="C54" s="337">
        <v>8.8326983027364039E-2</v>
      </c>
      <c r="D54" s="340">
        <v>114.89132317284377</v>
      </c>
      <c r="E54" s="30" t="s">
        <v>69</v>
      </c>
      <c r="F54" s="231"/>
      <c r="G54" s="231"/>
      <c r="H54" s="231"/>
      <c r="I54" s="232"/>
      <c r="J54" s="233"/>
      <c r="K54" s="234"/>
      <c r="L54" s="231">
        <v>434.84638573366107</v>
      </c>
      <c r="M54" s="231">
        <v>434.67579570800137</v>
      </c>
      <c r="N54" s="231"/>
      <c r="O54" s="127">
        <v>869.5221814416625</v>
      </c>
      <c r="P54" s="44">
        <f xml:space="preserve"> O54 - '[11]סיכום עלויות חודשי - צמוד 01.17'!O54</f>
        <v>142.13682792137172</v>
      </c>
    </row>
    <row r="55" spans="1:16">
      <c r="A55" s="332"/>
      <c r="B55" s="389"/>
      <c r="C55" s="338"/>
      <c r="D55" s="341"/>
      <c r="E55" s="30" t="s">
        <v>66</v>
      </c>
      <c r="F55" s="231"/>
      <c r="G55" s="231"/>
      <c r="H55" s="231"/>
      <c r="I55" s="232">
        <v>4917.890042142817</v>
      </c>
      <c r="J55" s="233"/>
      <c r="K55" s="234"/>
      <c r="L55" s="231"/>
      <c r="M55" s="231"/>
      <c r="N55" s="231"/>
      <c r="O55" s="127">
        <v>4917.890042142817</v>
      </c>
      <c r="P55" s="44">
        <f xml:space="preserve"> O55 - '[11]סיכום עלויות חודשי - צמוד 01.17'!O55</f>
        <v>360.04548451885057</v>
      </c>
    </row>
    <row r="56" spans="1:16">
      <c r="A56" s="332"/>
      <c r="B56" s="389"/>
      <c r="C56" s="338"/>
      <c r="D56" s="341"/>
      <c r="E56" s="30" t="s">
        <v>67</v>
      </c>
      <c r="F56" s="231">
        <v>267.43621855726184</v>
      </c>
      <c r="G56" s="231"/>
      <c r="H56" s="231"/>
      <c r="I56" s="232">
        <v>910.95846937429326</v>
      </c>
      <c r="J56" s="233"/>
      <c r="K56" s="234">
        <v>305.33215982944648</v>
      </c>
      <c r="L56" s="231"/>
      <c r="M56" s="231"/>
      <c r="N56" s="231"/>
      <c r="O56" s="127">
        <v>1483.7268477610016</v>
      </c>
      <c r="P56" s="44">
        <f xml:space="preserve"> O56 - '[11]סיכום עלויות חודשי - צמוד 01.17'!O56</f>
        <v>29.296385034911282</v>
      </c>
    </row>
    <row r="57" spans="1:16">
      <c r="A57" s="332"/>
      <c r="B57" s="389"/>
      <c r="C57" s="338"/>
      <c r="D57" s="341"/>
      <c r="E57" s="30" t="s">
        <v>68</v>
      </c>
      <c r="F57" s="231">
        <v>551.62763573482766</v>
      </c>
      <c r="G57" s="231"/>
      <c r="H57" s="231"/>
      <c r="I57" s="232">
        <v>1878.9895752506854</v>
      </c>
      <c r="J57" s="233"/>
      <c r="K57" s="234">
        <v>629.79374427724713</v>
      </c>
      <c r="L57" s="231"/>
      <c r="M57" s="231"/>
      <c r="N57" s="231"/>
      <c r="O57" s="127">
        <v>3060.4109552627606</v>
      </c>
      <c r="P57" s="44">
        <f xml:space="preserve"> O57 - '[11]סיכום עלויות חודשי - צמוד 01.17'!O57</f>
        <v>259.72992859681108</v>
      </c>
    </row>
    <row r="58" spans="1:16">
      <c r="A58" s="333"/>
      <c r="B58" s="390"/>
      <c r="C58" s="339"/>
      <c r="D58" s="342"/>
      <c r="E58" s="129" t="s">
        <v>33</v>
      </c>
      <c r="F58" s="235">
        <v>819.06385429208945</v>
      </c>
      <c r="G58" s="235"/>
      <c r="H58" s="235"/>
      <c r="I58" s="236">
        <v>7707.8380867677961</v>
      </c>
      <c r="J58" s="237"/>
      <c r="K58" s="238">
        <v>935.12590410669361</v>
      </c>
      <c r="L58" s="235">
        <v>434.84638573366107</v>
      </c>
      <c r="M58" s="235">
        <v>434.67579570800137</v>
      </c>
      <c r="N58" s="235"/>
      <c r="O58" s="131">
        <v>10331.55002660824</v>
      </c>
      <c r="P58" s="44">
        <f xml:space="preserve"> O58 - '[11]סיכום עלויות חודשי - צמוד 01.17'!O58</f>
        <v>791.20862607194249</v>
      </c>
    </row>
    <row r="59" spans="1:16">
      <c r="A59" s="331" t="s">
        <v>55</v>
      </c>
      <c r="B59" s="388">
        <v>887</v>
      </c>
      <c r="C59" s="337">
        <v>0.30723934880498788</v>
      </c>
      <c r="D59" s="340">
        <v>399.64158295808801</v>
      </c>
      <c r="E59" s="30" t="s">
        <v>69</v>
      </c>
      <c r="F59" s="231"/>
      <c r="G59" s="231"/>
      <c r="H59" s="231"/>
      <c r="I59" s="232"/>
      <c r="J59" s="233"/>
      <c r="K59" s="234"/>
      <c r="L59" s="231">
        <v>1512.5833103755192</v>
      </c>
      <c r="M59" s="231">
        <v>1412.2160728784206</v>
      </c>
      <c r="N59" s="231"/>
      <c r="O59" s="127">
        <v>2924.7993832539396</v>
      </c>
      <c r="P59" s="44">
        <f xml:space="preserve"> O59 - '[11]סיכום עלויות חודשי - צמוד 01.17'!O59</f>
        <v>394.63934963630072</v>
      </c>
    </row>
    <row r="60" spans="1:16">
      <c r="A60" s="332"/>
      <c r="B60" s="389"/>
      <c r="C60" s="338"/>
      <c r="D60" s="341"/>
      <c r="E60" s="30" t="s">
        <v>66</v>
      </c>
      <c r="F60" s="231"/>
      <c r="G60" s="231"/>
      <c r="H60" s="231"/>
      <c r="I60" s="232">
        <v>17106.543009335997</v>
      </c>
      <c r="J60" s="233"/>
      <c r="K60" s="234"/>
      <c r="L60" s="231"/>
      <c r="M60" s="231"/>
      <c r="N60" s="231"/>
      <c r="O60" s="127">
        <v>17106.543009335997</v>
      </c>
      <c r="P60" s="44">
        <f xml:space="preserve"> O60 - '[11]סיכום עלויות חודשי - צמוד 01.17'!O60</f>
        <v>1252.3935088949802</v>
      </c>
    </row>
    <row r="61" spans="1:16">
      <c r="A61" s="332"/>
      <c r="B61" s="389"/>
      <c r="C61" s="338"/>
      <c r="D61" s="341"/>
      <c r="E61" s="30" t="s">
        <v>67</v>
      </c>
      <c r="F61" s="231">
        <v>930.25853278545571</v>
      </c>
      <c r="G61" s="231"/>
      <c r="H61" s="231"/>
      <c r="I61" s="232">
        <v>3168.7065189607779</v>
      </c>
      <c r="J61" s="233"/>
      <c r="K61" s="234">
        <v>1062.0232338727067</v>
      </c>
      <c r="L61" s="231"/>
      <c r="M61" s="231"/>
      <c r="N61" s="231"/>
      <c r="O61" s="127">
        <v>5160.9882856189397</v>
      </c>
      <c r="P61" s="44">
        <f xml:space="preserve"> O61 - '[11]סיכום עלויות חודשי - צמוד 01.17'!O61</f>
        <v>101.90440390313233</v>
      </c>
    </row>
    <row r="62" spans="1:16">
      <c r="A62" s="332"/>
      <c r="B62" s="389"/>
      <c r="C62" s="338"/>
      <c r="D62" s="341"/>
      <c r="E62" s="30" t="s">
        <v>68</v>
      </c>
      <c r="F62" s="231">
        <v>1918.7988741050676</v>
      </c>
      <c r="G62" s="231"/>
      <c r="H62" s="231"/>
      <c r="I62" s="232">
        <v>6535.9362872445427</v>
      </c>
      <c r="J62" s="233"/>
      <c r="K62" s="234">
        <v>2190.5834922326358</v>
      </c>
      <c r="L62" s="231"/>
      <c r="M62" s="231"/>
      <c r="N62" s="231"/>
      <c r="O62" s="127">
        <v>10645.318653582246</v>
      </c>
      <c r="P62" s="44">
        <f xml:space="preserve"> O62 - '[11]סיכום עלויות חודשי - צמוד 01.17'!O62</f>
        <v>903.44332646914881</v>
      </c>
    </row>
    <row r="63" spans="1:16">
      <c r="A63" s="333"/>
      <c r="B63" s="390"/>
      <c r="C63" s="339"/>
      <c r="D63" s="342"/>
      <c r="E63" s="129" t="s">
        <v>33</v>
      </c>
      <c r="F63" s="235">
        <v>2849.0574068905235</v>
      </c>
      <c r="G63" s="235"/>
      <c r="H63" s="235"/>
      <c r="I63" s="236">
        <v>26811.185815541317</v>
      </c>
      <c r="J63" s="237"/>
      <c r="K63" s="238">
        <v>3252.6067261053422</v>
      </c>
      <c r="L63" s="235">
        <v>1512.5833103755192</v>
      </c>
      <c r="M63" s="235">
        <v>1412.2160728784206</v>
      </c>
      <c r="N63" s="235"/>
      <c r="O63" s="131">
        <v>35837.649331791123</v>
      </c>
      <c r="P63" s="44">
        <f xml:space="preserve"> O63 - '[11]סיכום עלויות חודשי - צמוד 01.17'!O63</f>
        <v>2652.3805889035648</v>
      </c>
    </row>
    <row r="64" spans="1:16">
      <c r="A64" s="331" t="s">
        <v>9</v>
      </c>
      <c r="B64" s="388">
        <v>1495</v>
      </c>
      <c r="C64" s="337">
        <v>0.51783858676827155</v>
      </c>
      <c r="D64" s="340">
        <v>673.57854173882924</v>
      </c>
      <c r="E64" s="30" t="s">
        <v>69</v>
      </c>
      <c r="F64" s="231"/>
      <c r="G64" s="231"/>
      <c r="H64" s="231"/>
      <c r="I64" s="232"/>
      <c r="J64" s="233"/>
      <c r="K64" s="234"/>
      <c r="L64" s="231">
        <v>2549.3935163600918</v>
      </c>
      <c r="M64" s="231">
        <v>2548.3933905233807</v>
      </c>
      <c r="N64" s="231"/>
      <c r="O64" s="127">
        <v>5097.7869068834725</v>
      </c>
      <c r="P64" s="44">
        <f xml:space="preserve"> O64 - '[11]סיכום עלויות חודשי - צמוד 01.17'!O64</f>
        <v>833.31199114686478</v>
      </c>
    </row>
    <row r="65" spans="1:16">
      <c r="A65" s="332"/>
      <c r="B65" s="389"/>
      <c r="C65" s="338"/>
      <c r="D65" s="341"/>
      <c r="E65" s="30" t="s">
        <v>66</v>
      </c>
      <c r="F65" s="231"/>
      <c r="G65" s="231"/>
      <c r="H65" s="231"/>
      <c r="I65" s="232">
        <v>28832.335737268677</v>
      </c>
      <c r="J65" s="233"/>
      <c r="K65" s="234"/>
      <c r="L65" s="231"/>
      <c r="M65" s="231"/>
      <c r="N65" s="231"/>
      <c r="O65" s="127">
        <v>28832.335737268677</v>
      </c>
      <c r="P65" s="44">
        <f xml:space="preserve"> O65 - '[11]סיכום עלויות חודשי - צמוד 01.17'!O65</f>
        <v>2110.8548994340454</v>
      </c>
    </row>
    <row r="66" spans="1:16">
      <c r="A66" s="332"/>
      <c r="B66" s="389"/>
      <c r="C66" s="338"/>
      <c r="D66" s="341"/>
      <c r="E66" s="30" t="s">
        <v>67</v>
      </c>
      <c r="F66" s="231">
        <v>1567.910379384731</v>
      </c>
      <c r="G66" s="231"/>
      <c r="H66" s="231"/>
      <c r="I66" s="232">
        <v>5340.7173008414438</v>
      </c>
      <c r="J66" s="233"/>
      <c r="K66" s="234">
        <v>1790.0040859512137</v>
      </c>
      <c r="L66" s="231"/>
      <c r="M66" s="231"/>
      <c r="N66" s="231"/>
      <c r="O66" s="127">
        <v>8698.6317661773883</v>
      </c>
      <c r="P66" s="44">
        <f xml:space="preserve"> O66 - '[11]סיכום עלויות חודשי - צמוד 01.17'!O66</f>
        <v>171.7556475327001</v>
      </c>
    </row>
    <row r="67" spans="1:16">
      <c r="A67" s="332"/>
      <c r="B67" s="389"/>
      <c r="C67" s="338"/>
      <c r="D67" s="341"/>
      <c r="E67" s="30" t="s">
        <v>68</v>
      </c>
      <c r="F67" s="231">
        <v>3234.0522173473237</v>
      </c>
      <c r="G67" s="231"/>
      <c r="H67" s="231"/>
      <c r="I67" s="232">
        <v>11016.036921567742</v>
      </c>
      <c r="J67" s="233"/>
      <c r="K67" s="234">
        <v>3692.1540665500015</v>
      </c>
      <c r="L67" s="231"/>
      <c r="M67" s="231"/>
      <c r="N67" s="231"/>
      <c r="O67" s="127">
        <v>17942.243205465067</v>
      </c>
      <c r="P67" s="44">
        <f xml:space="preserve"> O67 - '[11]סיכום עלויות חודשי - צמוד 01.17'!O67</f>
        <v>1522.7162674373394</v>
      </c>
    </row>
    <row r="68" spans="1:16">
      <c r="A68" s="333"/>
      <c r="B68" s="390"/>
      <c r="C68" s="339"/>
      <c r="D68" s="342"/>
      <c r="E68" s="129" t="s">
        <v>33</v>
      </c>
      <c r="F68" s="235">
        <v>4801.9625967320544</v>
      </c>
      <c r="G68" s="235"/>
      <c r="H68" s="235"/>
      <c r="I68" s="236">
        <v>45189.089959677862</v>
      </c>
      <c r="J68" s="237"/>
      <c r="K68" s="238">
        <v>5482.1581525012152</v>
      </c>
      <c r="L68" s="235">
        <v>2549.3935163600918</v>
      </c>
      <c r="M68" s="235">
        <v>2548.3933905233807</v>
      </c>
      <c r="N68" s="235"/>
      <c r="O68" s="131">
        <v>60570.9976157946</v>
      </c>
      <c r="P68" s="44">
        <f xml:space="preserve"> O68 - '[11]סיכום עלויות חודשי - צמוד 01.17'!O68</f>
        <v>4638.6388055509451</v>
      </c>
    </row>
    <row r="69" spans="1:16">
      <c r="A69" s="319" t="s">
        <v>10</v>
      </c>
      <c r="B69" s="397">
        <v>2887</v>
      </c>
      <c r="C69" s="325"/>
      <c r="D69" s="328">
        <v>1300.75</v>
      </c>
      <c r="E69" s="84" t="s">
        <v>69</v>
      </c>
      <c r="F69" s="226">
        <v>0</v>
      </c>
      <c r="G69" s="226">
        <v>0</v>
      </c>
      <c r="H69" s="226">
        <v>0</v>
      </c>
      <c r="I69" s="227">
        <v>0</v>
      </c>
      <c r="J69" s="228">
        <v>0</v>
      </c>
      <c r="K69" s="229">
        <v>0</v>
      </c>
      <c r="L69" s="226">
        <v>4923.143198482665</v>
      </c>
      <c r="M69" s="226">
        <v>4821.4380000000001</v>
      </c>
      <c r="N69" s="226">
        <v>0</v>
      </c>
      <c r="O69" s="126">
        <v>9744.5811984826651</v>
      </c>
      <c r="P69" s="44">
        <f xml:space="preserve"> O69 - '[11]סיכום עלויות חודשי - צמוד 01.17'!O69</f>
        <v>1509.4379999999983</v>
      </c>
    </row>
    <row r="70" spans="1:16">
      <c r="A70" s="320"/>
      <c r="B70" s="398"/>
      <c r="C70" s="326"/>
      <c r="D70" s="329"/>
      <c r="E70" s="84" t="s">
        <v>66</v>
      </c>
      <c r="F70" s="226">
        <v>0</v>
      </c>
      <c r="G70" s="226">
        <v>0</v>
      </c>
      <c r="H70" s="226">
        <v>0</v>
      </c>
      <c r="I70" s="227">
        <v>55678.229614377706</v>
      </c>
      <c r="J70" s="228">
        <v>0</v>
      </c>
      <c r="K70" s="229">
        <v>0</v>
      </c>
      <c r="L70" s="226">
        <v>0</v>
      </c>
      <c r="M70" s="226">
        <v>0</v>
      </c>
      <c r="N70" s="226">
        <v>0</v>
      </c>
      <c r="O70" s="126">
        <v>55678.229614377706</v>
      </c>
      <c r="P70" s="44">
        <f xml:space="preserve"> O70 - '[11]סיכום עלויות חודשי - צמוד 01.17'!O70</f>
        <v>4076.2796619840083</v>
      </c>
    </row>
    <row r="71" spans="1:16">
      <c r="A71" s="320"/>
      <c r="B71" s="398"/>
      <c r="C71" s="326"/>
      <c r="D71" s="329"/>
      <c r="E71" s="84" t="s">
        <v>67</v>
      </c>
      <c r="F71" s="226">
        <v>3027.7975018620191</v>
      </c>
      <c r="G71" s="226">
        <v>0</v>
      </c>
      <c r="H71" s="226">
        <v>0</v>
      </c>
      <c r="I71" s="227">
        <v>10313.478827778763</v>
      </c>
      <c r="J71" s="228">
        <v>0</v>
      </c>
      <c r="K71" s="229">
        <v>3456.6932290506038</v>
      </c>
      <c r="L71" s="226">
        <v>0</v>
      </c>
      <c r="M71" s="226">
        <v>0</v>
      </c>
      <c r="N71" s="226">
        <v>0</v>
      </c>
      <c r="O71" s="126">
        <v>16797.969558691388</v>
      </c>
      <c r="P71" s="44">
        <f xml:space="preserve"> O71 - '[11]סיכום עלויות חודשי - צמוד 01.17'!O71</f>
        <v>331.67815540897573</v>
      </c>
    </row>
    <row r="72" spans="1:16">
      <c r="A72" s="320"/>
      <c r="B72" s="398"/>
      <c r="C72" s="326"/>
      <c r="D72" s="329"/>
      <c r="E72" s="84" t="s">
        <v>68</v>
      </c>
      <c r="F72" s="226">
        <v>6245.2901347703837</v>
      </c>
      <c r="G72" s="226">
        <v>0</v>
      </c>
      <c r="H72" s="226">
        <v>0</v>
      </c>
      <c r="I72" s="227">
        <v>21273.109426465602</v>
      </c>
      <c r="J72" s="228">
        <v>0</v>
      </c>
      <c r="K72" s="229">
        <v>7129.9524188923488</v>
      </c>
      <c r="L72" s="226">
        <v>0</v>
      </c>
      <c r="M72" s="226">
        <v>0</v>
      </c>
      <c r="N72" s="226">
        <v>0</v>
      </c>
      <c r="O72" s="126">
        <v>34648.35198012834</v>
      </c>
      <c r="P72" s="44">
        <f xml:space="preserve"> O72 - '[11]סיכום עלויות חודשי - צמוד 01.17'!O72</f>
        <v>2940.5246933653252</v>
      </c>
    </row>
    <row r="73" spans="1:16">
      <c r="A73" s="321"/>
      <c r="B73" s="399"/>
      <c r="C73" s="327"/>
      <c r="D73" s="330"/>
      <c r="E73" s="84" t="s">
        <v>33</v>
      </c>
      <c r="F73" s="226">
        <v>9273.087636632401</v>
      </c>
      <c r="G73" s="226">
        <v>0</v>
      </c>
      <c r="H73" s="226">
        <v>0</v>
      </c>
      <c r="I73" s="227">
        <v>87264.817868622078</v>
      </c>
      <c r="J73" s="228">
        <v>0</v>
      </c>
      <c r="K73" s="229">
        <v>10586.645647942953</v>
      </c>
      <c r="L73" s="226">
        <v>4923.143198482665</v>
      </c>
      <c r="M73" s="226">
        <v>4821.4380000000001</v>
      </c>
      <c r="N73" s="226">
        <v>0</v>
      </c>
      <c r="O73" s="126">
        <v>116869.13235168008</v>
      </c>
      <c r="P73" s="44">
        <f xml:space="preserve"> O73 - '[11]סיכום עלויות חודשי - צמוד 01.17'!O73</f>
        <v>8857.9205107582966</v>
      </c>
    </row>
    <row r="74" spans="1:16" ht="15.75" thickBot="1">
      <c r="A74" s="14" t="s">
        <v>20</v>
      </c>
      <c r="B74" s="15">
        <v>30200.32</v>
      </c>
      <c r="C74" s="15"/>
      <c r="D74" s="15">
        <v>7409.4375</v>
      </c>
      <c r="E74" s="15"/>
      <c r="F74" s="49">
        <v>97003.88431393911</v>
      </c>
      <c r="G74" s="49">
        <v>168388.49577760068</v>
      </c>
      <c r="H74" s="49">
        <v>297758.86507842876</v>
      </c>
      <c r="I74" s="215">
        <v>87264.817868622078</v>
      </c>
      <c r="J74" s="216">
        <v>13771.56698328811</v>
      </c>
      <c r="K74" s="217">
        <v>10586.645647942953</v>
      </c>
      <c r="L74" s="49">
        <v>51500</v>
      </c>
      <c r="M74" s="49">
        <v>23925.823320000003</v>
      </c>
      <c r="N74" s="49">
        <v>8783.84</v>
      </c>
      <c r="O74" s="128">
        <v>758983.93898982159</v>
      </c>
      <c r="P74" s="44">
        <f xml:space="preserve"> O74 - '[11]סיכום עלויות חודשי - צמוד 01.17'!O74</f>
        <v>52214.556340171257</v>
      </c>
    </row>
    <row r="75" spans="1:16" s="2" customFormat="1" ht="15" thickTop="1">
      <c r="A75"/>
      <c r="B75"/>
      <c r="F75" s="31"/>
      <c r="O75" s="122"/>
      <c r="P75"/>
    </row>
    <row r="79" spans="1:16" s="2" customFormat="1">
      <c r="A79"/>
      <c r="B79"/>
      <c r="C79"/>
      <c r="D79"/>
      <c r="E79"/>
      <c r="H79" s="26"/>
      <c r="I79" s="26"/>
      <c r="J79" s="26"/>
      <c r="K79" s="26"/>
      <c r="L79" s="26"/>
      <c r="M79" s="26"/>
      <c r="N79" s="26"/>
      <c r="O79" s="122"/>
      <c r="P79"/>
    </row>
    <row r="80" spans="1:16" s="2" customFormat="1">
      <c r="A80"/>
      <c r="B80"/>
      <c r="C80"/>
      <c r="D80"/>
      <c r="E80"/>
      <c r="H80" s="26"/>
      <c r="I80" s="26"/>
      <c r="J80" s="26"/>
      <c r="K80" s="26"/>
      <c r="L80" s="26"/>
      <c r="M80" s="26"/>
      <c r="N80" s="26"/>
      <c r="O80" s="122"/>
      <c r="P80"/>
    </row>
    <row r="81" spans="1:16" s="2" customFormat="1">
      <c r="A81"/>
      <c r="B81"/>
      <c r="C81"/>
      <c r="D81"/>
      <c r="E81"/>
      <c r="H81" s="26"/>
      <c r="I81" s="26"/>
      <c r="J81" s="26"/>
      <c r="K81" s="26"/>
      <c r="L81" s="26"/>
      <c r="M81" s="26"/>
      <c r="N81" s="26"/>
      <c r="O81" s="122"/>
      <c r="P81"/>
    </row>
    <row r="82" spans="1:16" s="2" customFormat="1">
      <c r="A82"/>
      <c r="B82"/>
      <c r="C82"/>
      <c r="D82"/>
      <c r="E82"/>
      <c r="H82" s="26"/>
      <c r="I82" s="26"/>
      <c r="J82" s="26"/>
      <c r="K82" s="26"/>
      <c r="L82" s="26"/>
      <c r="M82" s="26"/>
      <c r="N82" s="26"/>
      <c r="O82" s="122"/>
      <c r="P82"/>
    </row>
    <row r="83" spans="1:16" s="2" customFormat="1">
      <c r="A83"/>
      <c r="B83"/>
      <c r="C83"/>
      <c r="D83"/>
      <c r="E83"/>
      <c r="H83" s="27"/>
      <c r="I83" s="26"/>
      <c r="J83" s="26"/>
      <c r="K83" s="26"/>
      <c r="L83" s="26"/>
      <c r="M83" s="28"/>
      <c r="N83" s="28"/>
      <c r="O83" s="122"/>
      <c r="P83"/>
    </row>
    <row r="84" spans="1:16" s="2" customFormat="1">
      <c r="A84"/>
      <c r="B84"/>
      <c r="C84"/>
      <c r="D84"/>
      <c r="E84"/>
      <c r="H84" s="26"/>
      <c r="I84" s="26"/>
      <c r="J84" s="26"/>
      <c r="K84" s="26"/>
      <c r="L84" s="26"/>
      <c r="M84" s="27"/>
      <c r="N84" s="27"/>
      <c r="O84" s="122"/>
      <c r="P84"/>
    </row>
    <row r="85" spans="1:16" s="2" customFormat="1">
      <c r="A85"/>
      <c r="B85"/>
      <c r="C85"/>
      <c r="D85"/>
      <c r="E85"/>
      <c r="H85" s="26"/>
      <c r="I85" s="26"/>
      <c r="J85" s="26"/>
      <c r="K85" s="26"/>
      <c r="L85" s="26"/>
      <c r="M85" s="27"/>
      <c r="N85" s="27"/>
      <c r="O85" s="122"/>
      <c r="P85"/>
    </row>
    <row r="86" spans="1:16" s="2" customFormat="1">
      <c r="A86"/>
      <c r="B86"/>
      <c r="C86"/>
      <c r="D86"/>
      <c r="E86"/>
      <c r="H86" s="26"/>
      <c r="I86" s="26"/>
      <c r="J86" s="26"/>
      <c r="K86" s="26"/>
      <c r="L86" s="26"/>
      <c r="M86" s="27"/>
      <c r="N86" s="27"/>
      <c r="O86" s="122"/>
      <c r="P86"/>
    </row>
    <row r="87" spans="1:16" s="2" customFormat="1">
      <c r="A87"/>
      <c r="B87"/>
      <c r="C87"/>
      <c r="D87"/>
      <c r="E87"/>
      <c r="H87" s="26"/>
      <c r="I87" s="26"/>
      <c r="J87" s="26"/>
      <c r="K87" s="26"/>
      <c r="L87" s="26"/>
      <c r="M87" s="27"/>
      <c r="N87" s="27"/>
      <c r="O87" s="122"/>
      <c r="P87"/>
    </row>
    <row r="88" spans="1:16" s="2" customFormat="1">
      <c r="A88"/>
      <c r="B88"/>
      <c r="C88"/>
      <c r="D88"/>
      <c r="E88"/>
      <c r="H88" s="26"/>
      <c r="I88" s="26"/>
      <c r="J88" s="26"/>
      <c r="K88" s="26"/>
      <c r="L88" s="26"/>
      <c r="M88" s="26"/>
      <c r="N88" s="26"/>
      <c r="O88" s="122"/>
      <c r="P88"/>
    </row>
    <row r="89" spans="1:16" s="2" customFormat="1">
      <c r="A89"/>
      <c r="B89"/>
      <c r="C89"/>
      <c r="D89"/>
      <c r="E89"/>
      <c r="H89" s="26"/>
      <c r="I89" s="26"/>
      <c r="J89" s="26"/>
      <c r="K89" s="26"/>
      <c r="L89" s="26"/>
      <c r="M89" s="26"/>
      <c r="N89" s="26"/>
      <c r="O89" s="122"/>
      <c r="P89"/>
    </row>
    <row r="90" spans="1:16" s="2" customFormat="1">
      <c r="A90"/>
      <c r="B90"/>
      <c r="C90"/>
      <c r="D90"/>
      <c r="E90"/>
      <c r="H90" s="26"/>
      <c r="I90" s="26"/>
      <c r="J90" s="26"/>
      <c r="K90" s="26"/>
      <c r="L90" s="26"/>
      <c r="M90" s="26"/>
      <c r="N90" s="26"/>
      <c r="O90" s="122"/>
      <c r="P90"/>
    </row>
    <row r="91" spans="1:16" s="2" customFormat="1">
      <c r="A91"/>
      <c r="B91"/>
      <c r="C91"/>
      <c r="D91"/>
      <c r="E91"/>
      <c r="H91" s="26"/>
      <c r="I91" s="26"/>
      <c r="J91" s="26"/>
      <c r="K91" s="26"/>
      <c r="L91" s="26"/>
      <c r="M91" s="26"/>
      <c r="N91" s="26"/>
      <c r="O91" s="122"/>
      <c r="P91"/>
    </row>
    <row r="92" spans="1:16" s="2" customFormat="1">
      <c r="A92"/>
      <c r="B92"/>
      <c r="C92"/>
      <c r="D92"/>
      <c r="E92"/>
      <c r="H92" s="26"/>
      <c r="I92" s="26"/>
      <c r="J92" s="26"/>
      <c r="K92" s="26"/>
      <c r="L92" s="26"/>
      <c r="M92" s="26"/>
      <c r="N92" s="26"/>
      <c r="O92" s="122"/>
      <c r="P92"/>
    </row>
    <row r="93" spans="1:16" s="2" customFormat="1">
      <c r="A93"/>
      <c r="B93"/>
      <c r="C93"/>
      <c r="D93"/>
      <c r="E93"/>
      <c r="H93" s="26"/>
      <c r="I93" s="26"/>
      <c r="J93" s="26"/>
      <c r="K93" s="26"/>
      <c r="L93" s="26"/>
      <c r="M93" s="26"/>
      <c r="N93" s="26"/>
      <c r="O93" s="122"/>
      <c r="P93"/>
    </row>
    <row r="94" spans="1:16" s="2" customFormat="1">
      <c r="A94"/>
      <c r="B94"/>
      <c r="C94"/>
      <c r="D94"/>
      <c r="E94"/>
      <c r="H94" s="26"/>
      <c r="I94" s="26"/>
      <c r="J94" s="26"/>
      <c r="K94" s="26"/>
      <c r="L94" s="26"/>
      <c r="M94" s="26"/>
      <c r="N94" s="26"/>
      <c r="O94" s="122"/>
      <c r="P94"/>
    </row>
  </sheetData>
  <mergeCells count="53">
    <mergeCell ref="A13:A17"/>
    <mergeCell ref="B13:B17"/>
    <mergeCell ref="C13:C17"/>
    <mergeCell ref="D13:D17"/>
    <mergeCell ref="A2:O2"/>
    <mergeCell ref="A6:A10"/>
    <mergeCell ref="B6:B10"/>
    <mergeCell ref="C6:C10"/>
    <mergeCell ref="D6:D10"/>
    <mergeCell ref="A18:A22"/>
    <mergeCell ref="B18:B22"/>
    <mergeCell ref="C18:C22"/>
    <mergeCell ref="D18:D22"/>
    <mergeCell ref="A23:A27"/>
    <mergeCell ref="B23:B27"/>
    <mergeCell ref="C23:C27"/>
    <mergeCell ref="D23:D27"/>
    <mergeCell ref="A28:A32"/>
    <mergeCell ref="B28:B32"/>
    <mergeCell ref="C28:C32"/>
    <mergeCell ref="D28:D32"/>
    <mergeCell ref="A33:A37"/>
    <mergeCell ref="B33:B37"/>
    <mergeCell ref="C33:C37"/>
    <mergeCell ref="D33:D37"/>
    <mergeCell ref="A38:A42"/>
    <mergeCell ref="B38:B42"/>
    <mergeCell ref="C38:C42"/>
    <mergeCell ref="D38:D42"/>
    <mergeCell ref="A43:A47"/>
    <mergeCell ref="B43:B47"/>
    <mergeCell ref="C43:C47"/>
    <mergeCell ref="D43:D47"/>
    <mergeCell ref="A49:A53"/>
    <mergeCell ref="B49:B53"/>
    <mergeCell ref="C49:C53"/>
    <mergeCell ref="D49:D53"/>
    <mergeCell ref="A54:A58"/>
    <mergeCell ref="B54:B58"/>
    <mergeCell ref="C54:C58"/>
    <mergeCell ref="D54:D58"/>
    <mergeCell ref="A69:A73"/>
    <mergeCell ref="B69:B73"/>
    <mergeCell ref="C69:C73"/>
    <mergeCell ref="D69:D73"/>
    <mergeCell ref="A59:A63"/>
    <mergeCell ref="B59:B63"/>
    <mergeCell ref="C59:C63"/>
    <mergeCell ref="D59:D63"/>
    <mergeCell ref="A64:A68"/>
    <mergeCell ref="B64:B68"/>
    <mergeCell ref="C64:C68"/>
    <mergeCell ref="D64:D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P94"/>
  <sheetViews>
    <sheetView rightToLeft="1" view="pageBreakPreview" topLeftCell="D49" zoomScale="80" zoomScaleNormal="100" zoomScaleSheetLayoutView="80" workbookViewId="0">
      <selection activeCell="M73" sqref="F73:M73"/>
    </sheetView>
  </sheetViews>
  <sheetFormatPr defaultRowHeight="14.25"/>
  <cols>
    <col min="1" max="1" width="19.375" customWidth="1"/>
    <col min="2" max="2" width="16.375" customWidth="1"/>
    <col min="3" max="5" width="14.87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1" width="14.125" style="2" customWidth="1"/>
    <col min="12" max="13" width="15.375" style="2" customWidth="1"/>
    <col min="14" max="14" width="17.375" style="2" customWidth="1"/>
    <col min="15" max="15" width="15.875" style="122" customWidth="1"/>
  </cols>
  <sheetData>
    <row r="1" spans="1:15">
      <c r="L1" s="2">
        <f>1.0528</f>
        <v>1.0528</v>
      </c>
    </row>
    <row r="2" spans="1:15" ht="29.25" customHeight="1" thickBot="1">
      <c r="A2" s="346" t="s">
        <v>216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</row>
    <row r="3" spans="1:15" ht="15" customHeight="1" thickTop="1">
      <c r="A3" s="3"/>
      <c r="B3" s="3" t="s">
        <v>16</v>
      </c>
      <c r="C3" s="3"/>
      <c r="D3" s="3">
        <v>1</v>
      </c>
      <c r="E3" s="112">
        <f>'מדדים - סיכום'!B2*(1+F3)</f>
        <v>39.670920586118548</v>
      </c>
      <c r="F3" s="146">
        <f>'מדדים - סיכום'!D2</f>
        <v>7.963965900613923E-2</v>
      </c>
      <c r="G3" s="3"/>
      <c r="H3" s="90">
        <v>0.35</v>
      </c>
      <c r="I3" s="114">
        <f>'מדדים - סיכום'!D4</f>
        <v>-1.3966313013247023E-2</v>
      </c>
      <c r="J3" s="91">
        <v>0.65</v>
      </c>
      <c r="K3" s="121">
        <f>'מדדים - סיכום'!D3</f>
        <v>2.2391257767302442E-2</v>
      </c>
      <c r="L3" s="3"/>
      <c r="M3" s="5"/>
      <c r="N3" s="18"/>
      <c r="O3" s="123"/>
    </row>
    <row r="4" spans="1:15" ht="75">
      <c r="A4" s="6"/>
      <c r="B4" s="7" t="s">
        <v>14</v>
      </c>
      <c r="C4" s="7"/>
      <c r="D4" s="7"/>
      <c r="E4" s="7"/>
      <c r="F4" s="8" t="s">
        <v>11</v>
      </c>
      <c r="G4" s="8" t="s">
        <v>28</v>
      </c>
      <c r="H4" s="8" t="s">
        <v>22</v>
      </c>
      <c r="I4" s="8" t="s">
        <v>25</v>
      </c>
      <c r="J4" s="8" t="s">
        <v>19</v>
      </c>
      <c r="K4" s="8" t="s">
        <v>63</v>
      </c>
      <c r="L4" s="8" t="s">
        <v>23</v>
      </c>
      <c r="M4" s="8" t="s">
        <v>24</v>
      </c>
      <c r="N4" s="32" t="s">
        <v>31</v>
      </c>
      <c r="O4" s="124" t="s">
        <v>34</v>
      </c>
    </row>
    <row r="5" spans="1:15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2" t="s">
        <v>18</v>
      </c>
      <c r="H5" s="12" t="s">
        <v>15</v>
      </c>
      <c r="I5" s="12" t="s">
        <v>17</v>
      </c>
      <c r="J5" s="12" t="s">
        <v>18</v>
      </c>
      <c r="K5" s="12" t="s">
        <v>17</v>
      </c>
      <c r="L5" s="11" t="s">
        <v>13</v>
      </c>
      <c r="M5" s="11" t="s">
        <v>13</v>
      </c>
      <c r="N5" s="33" t="s">
        <v>30</v>
      </c>
      <c r="O5" s="125"/>
    </row>
    <row r="6" spans="1:15">
      <c r="A6" s="347" t="s">
        <v>70</v>
      </c>
      <c r="B6" s="322">
        <v>12056.32</v>
      </c>
      <c r="C6" s="325">
        <f>B6/$B$43</f>
        <v>0.44140807488800338</v>
      </c>
      <c r="D6" s="350">
        <f>'סיכום עלויות חודשי - בסיס'!D6:D10</f>
        <v>7396</v>
      </c>
      <c r="E6" s="84" t="s">
        <v>69</v>
      </c>
      <c r="F6" s="85">
        <f xml:space="preserve"> F43 + F69</f>
        <v>0</v>
      </c>
      <c r="G6" s="85">
        <f t="shared" ref="F6:O10" si="0" xml:space="preserve"> G43 + G69</f>
        <v>0</v>
      </c>
      <c r="H6" s="85">
        <f t="shared" si="0"/>
        <v>0</v>
      </c>
      <c r="I6" s="85">
        <f t="shared" si="0"/>
        <v>0</v>
      </c>
      <c r="J6" s="85">
        <f t="shared" si="0"/>
        <v>0</v>
      </c>
      <c r="K6" s="85">
        <f t="shared" si="0"/>
        <v>0</v>
      </c>
      <c r="L6" s="85">
        <f t="shared" si="0"/>
        <v>51500</v>
      </c>
      <c r="M6" s="85">
        <f t="shared" si="0"/>
        <v>17676.75</v>
      </c>
      <c r="N6" s="85">
        <f t="shared" si="0"/>
        <v>8783.84</v>
      </c>
      <c r="O6" s="126">
        <f t="shared" si="0"/>
        <v>77960.59</v>
      </c>
    </row>
    <row r="7" spans="1:15">
      <c r="A7" s="348"/>
      <c r="B7" s="323"/>
      <c r="C7" s="326"/>
      <c r="D7" s="351"/>
      <c r="E7" s="84" t="s">
        <v>66</v>
      </c>
      <c r="F7" s="86">
        <f xml:space="preserve"> F44 + F70</f>
        <v>0</v>
      </c>
      <c r="G7" s="86">
        <f t="shared" si="0"/>
        <v>13646.796681624783</v>
      </c>
      <c r="H7" s="86">
        <f t="shared" si="0"/>
        <v>228690.46001629028</v>
      </c>
      <c r="I7" s="86">
        <f t="shared" si="0"/>
        <v>51601.949952393697</v>
      </c>
      <c r="J7" s="86">
        <f t="shared" si="0"/>
        <v>0</v>
      </c>
      <c r="K7" s="86">
        <f t="shared" si="0"/>
        <v>0</v>
      </c>
      <c r="L7" s="86">
        <f t="shared" si="0"/>
        <v>0</v>
      </c>
      <c r="M7" s="86">
        <f t="shared" si="0"/>
        <v>0</v>
      </c>
      <c r="N7" s="86">
        <f t="shared" si="0"/>
        <v>0</v>
      </c>
      <c r="O7" s="126">
        <f t="shared" si="0"/>
        <v>293939.2066503088</v>
      </c>
    </row>
    <row r="8" spans="1:15">
      <c r="A8" s="348"/>
      <c r="B8" s="323"/>
      <c r="C8" s="326"/>
      <c r="D8" s="351"/>
      <c r="E8" s="84" t="s">
        <v>67</v>
      </c>
      <c r="F8" s="86">
        <f xml:space="preserve"> F45 + F71</f>
        <v>31047.782982080676</v>
      </c>
      <c r="G8" s="86">
        <f t="shared" si="0"/>
        <v>49182.735915756239</v>
      </c>
      <c r="H8" s="86">
        <f t="shared" si="0"/>
        <v>16324.422544596513</v>
      </c>
      <c r="I8" s="86">
        <f t="shared" si="0"/>
        <v>10109.837809053541</v>
      </c>
      <c r="J8" s="86">
        <f t="shared" si="0"/>
        <v>4407.8299136612559</v>
      </c>
      <c r="K8" s="86">
        <f t="shared" si="0"/>
        <v>3388.4403589629219</v>
      </c>
      <c r="L8" s="86">
        <f t="shared" si="0"/>
        <v>0</v>
      </c>
      <c r="M8" s="86">
        <f t="shared" si="0"/>
        <v>0</v>
      </c>
      <c r="N8" s="86">
        <f t="shared" si="0"/>
        <v>0</v>
      </c>
      <c r="O8" s="126">
        <f t="shared" si="0"/>
        <v>114461.04952411115</v>
      </c>
    </row>
    <row r="9" spans="1:15">
      <c r="A9" s="348"/>
      <c r="B9" s="323"/>
      <c r="C9" s="326"/>
      <c r="D9" s="351"/>
      <c r="E9" s="84" t="s">
        <v>68</v>
      </c>
      <c r="F9" s="86">
        <f t="shared" si="0"/>
        <v>59786.245507380678</v>
      </c>
      <c r="G9" s="86">
        <f t="shared" si="0"/>
        <v>94707.281543457124</v>
      </c>
      <c r="H9" s="86">
        <f t="shared" si="0"/>
        <v>31434.641712767527</v>
      </c>
      <c r="I9" s="86">
        <f t="shared" si="0"/>
        <v>19467.710323816766</v>
      </c>
      <c r="J9" s="86">
        <f t="shared" si="0"/>
        <v>8487.8073750072308</v>
      </c>
      <c r="K9" s="86">
        <f t="shared" si="0"/>
        <v>6524.8500128010819</v>
      </c>
      <c r="L9" s="86">
        <f t="shared" si="0"/>
        <v>0</v>
      </c>
      <c r="M9" s="86">
        <f t="shared" si="0"/>
        <v>0</v>
      </c>
      <c r="N9" s="86">
        <f t="shared" si="0"/>
        <v>0</v>
      </c>
      <c r="O9" s="126">
        <f t="shared" si="0"/>
        <v>220408.53647523036</v>
      </c>
    </row>
    <row r="10" spans="1:15">
      <c r="A10" s="349"/>
      <c r="B10" s="324"/>
      <c r="C10" s="327"/>
      <c r="D10" s="352"/>
      <c r="E10" s="84" t="s">
        <v>33</v>
      </c>
      <c r="F10" s="86">
        <f t="shared" si="0"/>
        <v>90834.028489461358</v>
      </c>
      <c r="G10" s="86">
        <f t="shared" si="0"/>
        <v>157536.81414083816</v>
      </c>
      <c r="H10" s="86">
        <f t="shared" si="0"/>
        <v>276449.52427365433</v>
      </c>
      <c r="I10" s="86">
        <f t="shared" si="0"/>
        <v>81179.498085264015</v>
      </c>
      <c r="J10" s="86">
        <f t="shared" si="0"/>
        <v>12895.637288668488</v>
      </c>
      <c r="K10" s="86">
        <f t="shared" si="0"/>
        <v>9913.2903717640038</v>
      </c>
      <c r="L10" s="86">
        <f t="shared" si="0"/>
        <v>51500</v>
      </c>
      <c r="M10" s="86">
        <f t="shared" si="0"/>
        <v>17676.75</v>
      </c>
      <c r="N10" s="86">
        <f t="shared" si="0"/>
        <v>8783.84</v>
      </c>
      <c r="O10" s="126">
        <f t="shared" si="0"/>
        <v>706769.38264965033</v>
      </c>
    </row>
    <row r="11" spans="1:15">
      <c r="A11" s="6"/>
      <c r="B11" s="6"/>
      <c r="C11" s="6"/>
      <c r="D11" s="6"/>
      <c r="E11" s="6"/>
      <c r="F11" s="47"/>
      <c r="G11" s="47"/>
      <c r="H11" s="47"/>
      <c r="I11" s="47"/>
      <c r="J11" s="47"/>
      <c r="K11" s="50"/>
      <c r="L11" s="47"/>
      <c r="M11" s="47"/>
      <c r="N11" s="34"/>
      <c r="O11" s="127"/>
    </row>
    <row r="12" spans="1:15" ht="15">
      <c r="A12" s="87" t="s">
        <v>0</v>
      </c>
      <c r="B12" s="88" t="s">
        <v>21</v>
      </c>
      <c r="C12" s="9" t="s">
        <v>230</v>
      </c>
      <c r="D12" s="83">
        <f>'סיכום עלויות חודשי - בסיס'!D12</f>
        <v>344</v>
      </c>
      <c r="E12" s="9"/>
      <c r="F12" s="47"/>
      <c r="G12" s="47"/>
      <c r="H12" s="47"/>
      <c r="I12" s="47"/>
      <c r="J12" s="47"/>
      <c r="K12" s="50"/>
      <c r="L12" s="47"/>
      <c r="M12" s="47"/>
      <c r="N12" s="34"/>
      <c r="O12" s="127">
        <f>SUM(F12:K12)</f>
        <v>0</v>
      </c>
    </row>
    <row r="13" spans="1:15">
      <c r="A13" s="331" t="s">
        <v>1</v>
      </c>
      <c r="B13" s="334">
        <v>12056.32</v>
      </c>
      <c r="C13" s="337">
        <f>B13/$B$43</f>
        <v>0.44140807488800338</v>
      </c>
      <c r="D13" s="343">
        <f>'סיכום עלויות חודשי - בסיס'!D13:D17</f>
        <v>2741.25</v>
      </c>
      <c r="E13" s="30" t="s">
        <v>69</v>
      </c>
      <c r="F13" s="47"/>
      <c r="G13" s="47"/>
      <c r="H13" s="47"/>
      <c r="I13" s="47"/>
      <c r="J13" s="47"/>
      <c r="K13" s="47"/>
      <c r="L13" s="47">
        <f xml:space="preserve"> 'סיכום עלויות חודשי - בסיס'!L13</f>
        <v>20559.400695091972</v>
      </c>
      <c r="M13" s="47">
        <f xml:space="preserve"> 'סיכום עלויות חודשי - בסיס'!M13</f>
        <v>6319.1980000966551</v>
      </c>
      <c r="N13" s="47">
        <f xml:space="preserve"> 'סיכום עלויות חודשי - בסיס'!N13</f>
        <v>8783.84</v>
      </c>
      <c r="O13" s="127">
        <f t="shared" ref="O13:O16" si="1">SUM(F13:N13)</f>
        <v>35662.438695188626</v>
      </c>
    </row>
    <row r="14" spans="1:15">
      <c r="A14" s="332"/>
      <c r="B14" s="335"/>
      <c r="C14" s="338"/>
      <c r="D14" s="344"/>
      <c r="E14" s="30" t="s">
        <v>66</v>
      </c>
      <c r="F14" s="47"/>
      <c r="G14" s="47">
        <f xml:space="preserve"> ( $D$12 * $C$13 * $E$3)</f>
        <v>6023.806251623987</v>
      </c>
      <c r="H14" s="47">
        <f xml:space="preserve"> ( D13  * $E$3)</f>
        <v>108747.91105669747</v>
      </c>
      <c r="I14" s="47"/>
      <c r="J14" s="47"/>
      <c r="K14" s="50"/>
      <c r="L14" s="47"/>
      <c r="M14" s="47"/>
      <c r="N14" s="48"/>
      <c r="O14" s="127">
        <f t="shared" si="1"/>
        <v>114771.71730832146</v>
      </c>
    </row>
    <row r="15" spans="1:15">
      <c r="A15" s="332"/>
      <c r="B15" s="335"/>
      <c r="C15" s="338"/>
      <c r="D15" s="344"/>
      <c r="E15" s="30" t="s">
        <v>67</v>
      </c>
      <c r="F15" s="47">
        <f>'סיכום עלויות חודשי - בסיס'!F15  *( 1 + $I$3 )</f>
        <v>12394.637107239887</v>
      </c>
      <c r="G15" s="47">
        <f>'סיכום עלויות חודשי - בסיס'!G15  *( 1 + $I$3 )</f>
        <v>21709.656778299021</v>
      </c>
      <c r="H15" s="47">
        <f>'סיכום עלויות חודשי - בסיס'!H15  *( 1 + $I$3 )</f>
        <v>7302.5277951574772</v>
      </c>
      <c r="I15" s="47"/>
      <c r="J15" s="47">
        <f>'סיכום עלויות חודשי - בסיס'!J15  *( 1 + $I$3 )</f>
        <v>1945.6517166229689</v>
      </c>
      <c r="K15" s="47"/>
      <c r="L15" s="47"/>
      <c r="M15" s="47"/>
      <c r="N15" s="47"/>
      <c r="O15" s="127">
        <f t="shared" si="1"/>
        <v>43352.473397319351</v>
      </c>
    </row>
    <row r="16" spans="1:15">
      <c r="A16" s="332"/>
      <c r="B16" s="335"/>
      <c r="C16" s="338"/>
      <c r="D16" s="344"/>
      <c r="E16" s="30" t="s">
        <v>68</v>
      </c>
      <c r="F16" s="47">
        <f>'סיכום עלויות חודשי - בסיס'!F16 * ( 1 + $K$3)</f>
        <v>23867.366552259835</v>
      </c>
      <c r="G16" s="47">
        <f>'סיכום עלויות חודשי - בסיס'!G16 * ( 1 + $K$3)</f>
        <v>41804.558823973537</v>
      </c>
      <c r="H16" s="47">
        <f>'סיכום עלויות חודשי - בסיס'!H16 * ( 1 + $K$3)</f>
        <v>14061.896781413856</v>
      </c>
      <c r="I16" s="47"/>
      <c r="J16" s="47">
        <f>'סיכום עלויות חודשי - בסיס'!J16 * ( 1 + $K$3)</f>
        <v>3746.5867134221394</v>
      </c>
      <c r="K16" s="47"/>
      <c r="L16" s="47"/>
      <c r="M16" s="47"/>
      <c r="N16" s="47"/>
      <c r="O16" s="127">
        <f t="shared" si="1"/>
        <v>83480.408871069361</v>
      </c>
    </row>
    <row r="17" spans="1:15">
      <c r="A17" s="333"/>
      <c r="B17" s="336"/>
      <c r="C17" s="339"/>
      <c r="D17" s="345"/>
      <c r="E17" s="129" t="s">
        <v>33</v>
      </c>
      <c r="F17" s="130">
        <f>SUM(F13:F16)</f>
        <v>36262.003659499722</v>
      </c>
      <c r="G17" s="130">
        <f t="shared" ref="G17:N17" si="2">SUM(G13:G16)</f>
        <v>69538.021853896542</v>
      </c>
      <c r="H17" s="130">
        <f t="shared" si="2"/>
        <v>130112.33563326881</v>
      </c>
      <c r="I17" s="130"/>
      <c r="J17" s="130">
        <f t="shared" si="2"/>
        <v>5692.2384300451085</v>
      </c>
      <c r="K17" s="130"/>
      <c r="L17" s="130">
        <f t="shared" si="2"/>
        <v>20559.400695091972</v>
      </c>
      <c r="M17" s="130">
        <f t="shared" si="2"/>
        <v>6319.1980000966551</v>
      </c>
      <c r="N17" s="130">
        <f t="shared" si="2"/>
        <v>8783.84</v>
      </c>
      <c r="O17" s="131">
        <f>SUM(F17:N17)</f>
        <v>277267.03827189881</v>
      </c>
    </row>
    <row r="18" spans="1:15">
      <c r="A18" s="331" t="s">
        <v>2</v>
      </c>
      <c r="B18" s="334">
        <v>3046.36</v>
      </c>
      <c r="C18" s="337">
        <f>B18/$B$43</f>
        <v>0.11153385966993394</v>
      </c>
      <c r="D18" s="340">
        <f>'סיכום עלויות חודשי - בסיס'!D18:D22 + 13.4375</f>
        <v>529.4375</v>
      </c>
      <c r="E18" s="30" t="s">
        <v>69</v>
      </c>
      <c r="F18" s="47"/>
      <c r="G18" s="47"/>
      <c r="H18" s="47"/>
      <c r="I18" s="47"/>
      <c r="J18" s="47"/>
      <c r="K18" s="47"/>
      <c r="L18" s="47">
        <f xml:space="preserve"> 'סיכום עלויות חודשי - בסיס'!L18</f>
        <v>5194.8966103670427</v>
      </c>
      <c r="M18" s="47">
        <f xml:space="preserve"> 'סיכום עלויות חודשי - בסיס'!M18</f>
        <v>1645.4687350347747</v>
      </c>
      <c r="N18" s="47"/>
      <c r="O18" s="127">
        <f t="shared" ref="O18:O21" si="3">SUM(F18:N18)</f>
        <v>6840.3653454018176</v>
      </c>
    </row>
    <row r="19" spans="1:15">
      <c r="A19" s="332"/>
      <c r="B19" s="335"/>
      <c r="C19" s="338"/>
      <c r="D19" s="341"/>
      <c r="E19" s="30" t="s">
        <v>66</v>
      </c>
      <c r="F19" s="47"/>
      <c r="G19" s="47">
        <f xml:space="preserve"> ( $D$12 * $C$18  * $E$3)</f>
        <v>1522.0799060324584</v>
      </c>
      <c r="H19" s="47">
        <f xml:space="preserve"> ( D18 * $E$3)</f>
        <v>21003.273017813139</v>
      </c>
      <c r="I19" s="47"/>
      <c r="J19" s="47"/>
      <c r="K19" s="50"/>
      <c r="L19" s="47"/>
      <c r="M19" s="47"/>
      <c r="N19" s="48"/>
      <c r="O19" s="127">
        <f t="shared" si="3"/>
        <v>22525.352923845596</v>
      </c>
    </row>
    <row r="20" spans="1:15">
      <c r="A20" s="332"/>
      <c r="B20" s="335"/>
      <c r="C20" s="338"/>
      <c r="D20" s="341"/>
      <c r="E20" s="30" t="s">
        <v>67</v>
      </c>
      <c r="F20" s="47">
        <f>'סיכום עלויות חודשי - בסיס'!F20  *( 1 + $I$3 )</f>
        <v>3131.8450985052905</v>
      </c>
      <c r="G20" s="47">
        <f>'סיכום עלויות חודשי - בסיס'!G20  *( 1 + $I$3 )</f>
        <v>5485.5403658113764</v>
      </c>
      <c r="H20" s="47">
        <f>'סיכום עלויות חודשי - בסיס'!H20  *( 1 + $I$3 )</f>
        <v>1758.5115593007999</v>
      </c>
      <c r="I20" s="47"/>
      <c r="J20" s="47">
        <f>'סיכום עלויות חודשי - בסיס'!J20  *( 1 + $I$3 )</f>
        <v>491.62228303923149</v>
      </c>
      <c r="K20" s="47"/>
      <c r="L20" s="47"/>
      <c r="M20" s="47"/>
      <c r="N20" s="47"/>
      <c r="O20" s="127">
        <f t="shared" si="3"/>
        <v>10867.519306656697</v>
      </c>
    </row>
    <row r="21" spans="1:15">
      <c r="A21" s="332"/>
      <c r="B21" s="335"/>
      <c r="C21" s="338"/>
      <c r="D21" s="341"/>
      <c r="E21" s="30" t="s">
        <v>68</v>
      </c>
      <c r="F21" s="47">
        <f>'סיכום עלויות חודשי - בסיס'!F21 * ( 1 + $K$3)</f>
        <v>6030.7449346187123</v>
      </c>
      <c r="G21" s="47">
        <f>'סיכום עלויות חודשי - בסיס'!G21 * ( 1 + $K$3)</f>
        <v>10563.06864938887</v>
      </c>
      <c r="H21" s="47">
        <f>'סיכום עלויות חודשי - בסיס'!H21 * ( 1 + $K$3)</f>
        <v>3386.2258014558815</v>
      </c>
      <c r="I21" s="47"/>
      <c r="J21" s="47">
        <f>'סיכום עלויות חודשי - בסיס'!J21 * ( 1 + $K$3)</f>
        <v>946.67791666948676</v>
      </c>
      <c r="K21" s="47"/>
      <c r="L21" s="47"/>
      <c r="M21" s="47"/>
      <c r="N21" s="47"/>
      <c r="O21" s="127">
        <f t="shared" si="3"/>
        <v>20926.717302132951</v>
      </c>
    </row>
    <row r="22" spans="1:15">
      <c r="A22" s="333"/>
      <c r="B22" s="336"/>
      <c r="C22" s="339"/>
      <c r="D22" s="342"/>
      <c r="E22" s="129" t="s">
        <v>33</v>
      </c>
      <c r="F22" s="130">
        <f>SUM(F18:F21)</f>
        <v>9162.5900331240027</v>
      </c>
      <c r="G22" s="130">
        <f t="shared" ref="G22:H22" si="4">SUM(G18:G21)</f>
        <v>17570.688921232704</v>
      </c>
      <c r="H22" s="130">
        <f t="shared" si="4"/>
        <v>26148.010378569823</v>
      </c>
      <c r="I22" s="130"/>
      <c r="J22" s="130">
        <f t="shared" ref="J22" si="5">SUM(J18:J21)</f>
        <v>1438.3001997087183</v>
      </c>
      <c r="K22" s="130"/>
      <c r="L22" s="130">
        <f t="shared" ref="L22:M22" si="6">SUM(L18:L21)</f>
        <v>5194.8966103670427</v>
      </c>
      <c r="M22" s="130">
        <f t="shared" si="6"/>
        <v>1645.4687350347747</v>
      </c>
      <c r="N22" s="130"/>
      <c r="O22" s="131">
        <f>SUM(F22:N22)</f>
        <v>61159.954878037061</v>
      </c>
    </row>
    <row r="23" spans="1:15">
      <c r="A23" s="331" t="s">
        <v>3</v>
      </c>
      <c r="B23" s="334">
        <v>6565</v>
      </c>
      <c r="C23" s="337">
        <f>B23/$B$43</f>
        <v>0.24035891645541443</v>
      </c>
      <c r="D23" s="340">
        <f>'סיכום עלויות חודשי - בסיס'!D23:D27</f>
        <v>1816.75</v>
      </c>
      <c r="E23" s="30" t="s">
        <v>69</v>
      </c>
      <c r="F23" s="47"/>
      <c r="G23" s="47"/>
      <c r="H23" s="47"/>
      <c r="I23" s="47"/>
      <c r="J23" s="47"/>
      <c r="K23" s="47"/>
      <c r="L23" s="47">
        <f xml:space="preserve"> 'סיכום עלויות חודשי - בסיס'!L23</f>
        <v>11195.162832711707</v>
      </c>
      <c r="M23" s="47">
        <f xml:space="preserve"> 'סיכום עלויות חודשי - בסיס'!M23</f>
        <v>3440.9782479757137</v>
      </c>
      <c r="N23" s="47"/>
      <c r="O23" s="127">
        <f t="shared" ref="O23:O26" si="7">SUM(F23:N23)</f>
        <v>14636.141080687421</v>
      </c>
    </row>
    <row r="24" spans="1:15">
      <c r="A24" s="332"/>
      <c r="B24" s="335"/>
      <c r="C24" s="338"/>
      <c r="D24" s="341"/>
      <c r="E24" s="30" t="s">
        <v>66</v>
      </c>
      <c r="F24" s="47"/>
      <c r="G24" s="47">
        <f xml:space="preserve"> ( $D$12 * $C$23 * $E$3)</f>
        <v>3280.1292634826777</v>
      </c>
      <c r="H24" s="47">
        <f xml:space="preserve"> ( D23 * $E$3)</f>
        <v>72072.144974830866</v>
      </c>
      <c r="I24" s="47"/>
      <c r="J24" s="47"/>
      <c r="K24" s="50"/>
      <c r="L24" s="47"/>
      <c r="M24" s="47"/>
      <c r="N24" s="48"/>
      <c r="O24" s="127">
        <f t="shared" si="7"/>
        <v>75352.274238313548</v>
      </c>
    </row>
    <row r="25" spans="1:15">
      <c r="A25" s="332"/>
      <c r="B25" s="335"/>
      <c r="C25" s="338"/>
      <c r="D25" s="341"/>
      <c r="E25" s="30" t="s">
        <v>67</v>
      </c>
      <c r="F25" s="47">
        <f>'סיכום עלויות חודשי - בסיס'!F25  *( 1 + $I$3 )</f>
        <v>6749.2230306619149</v>
      </c>
      <c r="G25" s="47">
        <f>'סיכום עלויות חודשי - בסיס'!G25  *( 1 + $I$3 )</f>
        <v>11821.509113023965</v>
      </c>
      <c r="H25" s="47">
        <f>'סיכום עלויות חודשי - בסיס'!H25  *( 1 + $I$3 )</f>
        <v>4789.2831568766042</v>
      </c>
      <c r="I25" s="47"/>
      <c r="J25" s="47">
        <f>'סיכום עלויות חודשי - בסיס'!J25  *( 1 + $I$3 )</f>
        <v>1059.4612219673822</v>
      </c>
      <c r="K25" s="47"/>
      <c r="L25" s="47"/>
      <c r="M25" s="47"/>
      <c r="N25" s="47"/>
      <c r="O25" s="127">
        <f t="shared" si="7"/>
        <v>24419.476522529869</v>
      </c>
    </row>
    <row r="26" spans="1:15">
      <c r="A26" s="332"/>
      <c r="B26" s="335"/>
      <c r="C26" s="338"/>
      <c r="D26" s="341"/>
      <c r="E26" s="30" t="s">
        <v>68</v>
      </c>
      <c r="F26" s="47">
        <f>'סיכום עלויות חודשי - בסיס'!F26 * ( 1 + $K$3)</f>
        <v>12996.441817701074</v>
      </c>
      <c r="G26" s="47">
        <f>'סיכום עלויות חודשי - בסיס'!G26 * ( 1 + $K$3)</f>
        <v>22763.739572223225</v>
      </c>
      <c r="H26" s="47">
        <f>'סיכום עלויות חודשי - בסיס'!H26 * ( 1 + $K$3)</f>
        <v>9222.341536806216</v>
      </c>
      <c r="I26" s="47"/>
      <c r="J26" s="47">
        <f>'סיכום עלויות חודשי - בסיס'!J26 * ( 1 + $K$3)</f>
        <v>2040.1201837390131</v>
      </c>
      <c r="K26" s="47"/>
      <c r="L26" s="47"/>
      <c r="M26" s="47"/>
      <c r="N26" s="47"/>
      <c r="O26" s="127">
        <f t="shared" si="7"/>
        <v>47022.643110469522</v>
      </c>
    </row>
    <row r="27" spans="1:15">
      <c r="A27" s="333"/>
      <c r="B27" s="336"/>
      <c r="C27" s="339"/>
      <c r="D27" s="342"/>
      <c r="E27" s="129" t="s">
        <v>33</v>
      </c>
      <c r="F27" s="130">
        <f>SUM(F23:F26)</f>
        <v>19745.664848362991</v>
      </c>
      <c r="G27" s="130">
        <f t="shared" ref="G27:H27" si="8">SUM(G23:G26)</f>
        <v>37865.377948729867</v>
      </c>
      <c r="H27" s="130">
        <f t="shared" si="8"/>
        <v>86083.769668513676</v>
      </c>
      <c r="I27" s="130"/>
      <c r="J27" s="130">
        <f t="shared" ref="J27" si="9">SUM(J23:J26)</f>
        <v>3099.5814057063953</v>
      </c>
      <c r="K27" s="130"/>
      <c r="L27" s="130">
        <f t="shared" ref="L27:M27" si="10">SUM(L23:L26)</f>
        <v>11195.162832711707</v>
      </c>
      <c r="M27" s="130">
        <f t="shared" si="10"/>
        <v>3440.9782479757137</v>
      </c>
      <c r="N27" s="130"/>
      <c r="O27" s="131">
        <f>SUM(F27:N27)</f>
        <v>161430.53495200037</v>
      </c>
    </row>
    <row r="28" spans="1:15">
      <c r="A28" s="331" t="s">
        <v>4</v>
      </c>
      <c r="B28" s="334">
        <v>4521</v>
      </c>
      <c r="C28" s="337">
        <f>B28/$B$43</f>
        <v>0.16552363462222827</v>
      </c>
      <c r="D28" s="340">
        <f>'סיכום עלויות חודשי - בסיס'!D28:D32</f>
        <v>516</v>
      </c>
      <c r="E28" s="30" t="s">
        <v>69</v>
      </c>
      <c r="F28" s="47"/>
      <c r="G28" s="47"/>
      <c r="H28" s="47"/>
      <c r="I28" s="47"/>
      <c r="J28" s="47"/>
      <c r="K28" s="47"/>
      <c r="L28" s="47">
        <f xml:space="preserve"> 'סיכום עלויות חודשי - בסיס'!L28</f>
        <v>7709.570627066204</v>
      </c>
      <c r="M28" s="47">
        <f xml:space="preserve"> 'סיכום עלויות חודשי - בסיס'!M28</f>
        <v>2369.6363532518199</v>
      </c>
      <c r="N28" s="47"/>
      <c r="O28" s="127">
        <f t="shared" ref="O28:O31" si="11">SUM(F28:N28)</f>
        <v>10079.206980318024</v>
      </c>
    </row>
    <row r="29" spans="1:15">
      <c r="A29" s="332"/>
      <c r="B29" s="335"/>
      <c r="C29" s="338"/>
      <c r="D29" s="341"/>
      <c r="E29" s="30" t="s">
        <v>66</v>
      </c>
      <c r="F29" s="47"/>
      <c r="G29" s="47">
        <f xml:space="preserve"> ( $D$12 * $C$28  * $E$3)</f>
        <v>2258.8673876930975</v>
      </c>
      <c r="H29" s="47">
        <f xml:space="preserve"> ( D28  * $E$3)</f>
        <v>20470.195022437172</v>
      </c>
      <c r="I29" s="47"/>
      <c r="J29" s="47"/>
      <c r="K29" s="50"/>
      <c r="L29" s="47"/>
      <c r="M29" s="47"/>
      <c r="N29" s="48"/>
      <c r="O29" s="127">
        <f t="shared" si="11"/>
        <v>22729.062410130271</v>
      </c>
    </row>
    <row r="30" spans="1:15">
      <c r="A30" s="332"/>
      <c r="B30" s="335"/>
      <c r="C30" s="338"/>
      <c r="D30" s="341"/>
      <c r="E30" s="30" t="s">
        <v>67</v>
      </c>
      <c r="F30" s="47">
        <f>'סיכום עלויות חודשי - בסיס'!F30  *( 1 + $I$3 )</f>
        <v>4647.8655478480614</v>
      </c>
      <c r="G30" s="47">
        <f>'סיכום עלויות חודשי - בסיס'!G30  *( 1 + $I$3 )</f>
        <v>8140.9052094411791</v>
      </c>
      <c r="H30" s="47">
        <f>'סיכום עלויות חודשי - בסיס'!H30  *( 1 + $I$3 )</f>
        <v>1694.6187164399566</v>
      </c>
      <c r="I30" s="47"/>
      <c r="J30" s="47">
        <f>'סיכום עלויות חודשי - בסיס'!J30  *( 1 + $I$3 )</f>
        <v>729.60002810579374</v>
      </c>
      <c r="K30" s="47"/>
      <c r="L30" s="47"/>
      <c r="M30" s="47"/>
      <c r="N30" s="47"/>
      <c r="O30" s="127">
        <f t="shared" si="11"/>
        <v>15212.989501834989</v>
      </c>
    </row>
    <row r="31" spans="1:15">
      <c r="A31" s="332"/>
      <c r="B31" s="335"/>
      <c r="C31" s="338"/>
      <c r="D31" s="341"/>
      <c r="E31" s="30" t="s">
        <v>68</v>
      </c>
      <c r="F31" s="47">
        <f>'סיכום עלויות חודשי - בסיס'!F31 * ( 1 + $K$3)</f>
        <v>8950.0248983741894</v>
      </c>
      <c r="G31" s="47">
        <f>'סיכום עלויות חודשי - בסיס'!G31 * ( 1 + $K$3)</f>
        <v>15676.293466263698</v>
      </c>
      <c r="H31" s="47">
        <f>'סיכום עלויות חודשי - בסיס'!H31 * ( 1 + $K$3)</f>
        <v>3263.1924373136644</v>
      </c>
      <c r="I31" s="47"/>
      <c r="J31" s="47">
        <f>'סיכום עלויות חודשי - בסיס'!J31 * ( 1 + $K$3)</f>
        <v>1404.9327266845514</v>
      </c>
      <c r="K31" s="47"/>
      <c r="L31" s="47"/>
      <c r="M31" s="47"/>
      <c r="N31" s="47"/>
      <c r="O31" s="127">
        <f t="shared" si="11"/>
        <v>29294.443528636104</v>
      </c>
    </row>
    <row r="32" spans="1:15">
      <c r="A32" s="333"/>
      <c r="B32" s="336"/>
      <c r="C32" s="339"/>
      <c r="D32" s="342"/>
      <c r="E32" s="129" t="s">
        <v>33</v>
      </c>
      <c r="F32" s="130">
        <f>SUM(F28:F31)</f>
        <v>13597.890446222251</v>
      </c>
      <c r="G32" s="130">
        <f t="shared" ref="G32:H32" si="12">SUM(G28:G31)</f>
        <v>26076.066063397975</v>
      </c>
      <c r="H32" s="130">
        <f t="shared" si="12"/>
        <v>25428.006176190793</v>
      </c>
      <c r="I32" s="130"/>
      <c r="J32" s="130">
        <f t="shared" ref="J32" si="13">SUM(J28:J31)</f>
        <v>2134.5327547903453</v>
      </c>
      <c r="K32" s="130"/>
      <c r="L32" s="130">
        <f t="shared" ref="L32:M32" si="14">SUM(L28:L31)</f>
        <v>7709.570627066204</v>
      </c>
      <c r="M32" s="130">
        <f t="shared" si="14"/>
        <v>2369.6363532518199</v>
      </c>
      <c r="N32" s="130"/>
      <c r="O32" s="131">
        <f>SUM(F32:N32)</f>
        <v>77315.702420919391</v>
      </c>
    </row>
    <row r="33" spans="1:15">
      <c r="A33" s="331" t="s">
        <v>5</v>
      </c>
      <c r="B33" s="334">
        <v>231</v>
      </c>
      <c r="C33" s="337">
        <f>B33/$B$43</f>
        <v>8.4574119879970659E-3</v>
      </c>
      <c r="D33" s="340">
        <f>'סיכום עלויות חודשי - בסיס'!D33:D37</f>
        <v>0</v>
      </c>
      <c r="E33" s="30" t="s">
        <v>69</v>
      </c>
      <c r="F33" s="47"/>
      <c r="G33" s="47"/>
      <c r="H33" s="47"/>
      <c r="I33" s="47"/>
      <c r="J33" s="47"/>
      <c r="K33" s="47"/>
      <c r="L33" s="47">
        <f xml:space="preserve"> 'סיכום עלויות חודשי - בסיס'!L33</f>
        <v>393.91966707637539</v>
      </c>
      <c r="M33" s="47">
        <f xml:space="preserve"> 'סיכום עלויות חודשי - בסיס'!M33</f>
        <v>121.07631002016599</v>
      </c>
      <c r="N33" s="47"/>
      <c r="O33" s="127">
        <f t="shared" ref="O33:O36" si="15">SUM(F33:N33)</f>
        <v>514.99597709654142</v>
      </c>
    </row>
    <row r="34" spans="1:15">
      <c r="A34" s="332"/>
      <c r="B34" s="335"/>
      <c r="C34" s="338"/>
      <c r="D34" s="341"/>
      <c r="E34" s="30" t="s">
        <v>66</v>
      </c>
      <c r="F34" s="47"/>
      <c r="G34" s="47">
        <f xml:space="preserve"> ( $D$12 * $C$33  * $E$3)</f>
        <v>115.41658185293198</v>
      </c>
      <c r="H34" s="47"/>
      <c r="I34" s="47"/>
      <c r="J34" s="47"/>
      <c r="K34" s="50"/>
      <c r="L34" s="47"/>
      <c r="M34" s="47"/>
      <c r="N34" s="48"/>
      <c r="O34" s="127">
        <f t="shared" si="15"/>
        <v>115.41658185293198</v>
      </c>
    </row>
    <row r="35" spans="1:15">
      <c r="A35" s="332"/>
      <c r="B35" s="335"/>
      <c r="C35" s="338"/>
      <c r="D35" s="341"/>
      <c r="E35" s="30" t="s">
        <v>67</v>
      </c>
      <c r="F35" s="47">
        <f>'סיכום עלויות חודשי - בסיס'!F35  *( 1 + $I$3 )</f>
        <v>237.48218127690822</v>
      </c>
      <c r="G35" s="47">
        <f>'סיכום עלויות חודשי - בסיס'!G35  *( 1 + $I$3 )</f>
        <v>415.9586603364105</v>
      </c>
      <c r="H35" s="47"/>
      <c r="I35" s="47"/>
      <c r="J35" s="47">
        <f>'סיכום עלויות חודשי - בסיס'!J35  *( 1 + $I$3 )</f>
        <v>37.27883355285077</v>
      </c>
      <c r="K35" s="47"/>
      <c r="L35" s="47"/>
      <c r="M35" s="47"/>
      <c r="N35" s="47"/>
      <c r="O35" s="127">
        <f t="shared" si="15"/>
        <v>690.71967516616951</v>
      </c>
    </row>
    <row r="36" spans="1:15">
      <c r="A36" s="332"/>
      <c r="B36" s="335"/>
      <c r="C36" s="338"/>
      <c r="D36" s="341"/>
      <c r="E36" s="30" t="s">
        <v>68</v>
      </c>
      <c r="F36" s="47">
        <f>'סיכום עלויות חודשי - בסיס'!F36 * ( 1 + $K$3)</f>
        <v>457.30054225269583</v>
      </c>
      <c r="G36" s="47">
        <f>'סיכום עלויות חודשי - בסיס'!G36 * ( 1 + $K$3)</f>
        <v>800.97849827624725</v>
      </c>
      <c r="H36" s="47"/>
      <c r="I36" s="47"/>
      <c r="J36" s="47">
        <f>'סיכום עלויות חודשי - בסיס'!J36 * ( 1 + $K$3)</f>
        <v>71.784883845196063</v>
      </c>
      <c r="K36" s="47"/>
      <c r="L36" s="47"/>
      <c r="M36" s="47"/>
      <c r="N36" s="47"/>
      <c r="O36" s="127">
        <f t="shared" si="15"/>
        <v>1330.0639243741391</v>
      </c>
    </row>
    <row r="37" spans="1:15">
      <c r="A37" s="333"/>
      <c r="B37" s="336"/>
      <c r="C37" s="339"/>
      <c r="D37" s="342"/>
      <c r="E37" s="129" t="s">
        <v>33</v>
      </c>
      <c r="F37" s="130">
        <f>SUM(F33:F36)</f>
        <v>694.78272352960403</v>
      </c>
      <c r="G37" s="130">
        <f t="shared" ref="G37" si="16">SUM(G33:G36)</f>
        <v>1332.3537404655899</v>
      </c>
      <c r="H37" s="130"/>
      <c r="I37" s="130"/>
      <c r="J37" s="130">
        <f t="shared" ref="J37" si="17">SUM(J33:J36)</f>
        <v>109.06371739804683</v>
      </c>
      <c r="K37" s="130"/>
      <c r="L37" s="130">
        <f t="shared" ref="L37:M37" si="18">SUM(L33:L36)</f>
        <v>393.91966707637539</v>
      </c>
      <c r="M37" s="130">
        <f t="shared" si="18"/>
        <v>121.07631002016599</v>
      </c>
      <c r="N37" s="130"/>
      <c r="O37" s="131">
        <f>SUM(F37:N37)</f>
        <v>2651.1961584897822</v>
      </c>
    </row>
    <row r="38" spans="1:15">
      <c r="A38" s="331" t="s">
        <v>26</v>
      </c>
      <c r="B38" s="334">
        <v>893.64</v>
      </c>
      <c r="C38" s="337">
        <f>B38/$B$43</f>
        <v>3.2718102376422933E-2</v>
      </c>
      <c r="D38" s="340">
        <f>'סיכום עלויות חודשי - בסיס'!D38:D42</f>
        <v>161.25</v>
      </c>
      <c r="E38" s="30" t="s">
        <v>69</v>
      </c>
      <c r="F38" s="47"/>
      <c r="G38" s="47"/>
      <c r="H38" s="47"/>
      <c r="I38" s="47"/>
      <c r="J38" s="47"/>
      <c r="K38" s="47"/>
      <c r="L38" s="47">
        <f xml:space="preserve"> 'סיכום עלויות חודשי - בסיס'!L38</f>
        <v>1523.9063692040352</v>
      </c>
      <c r="M38" s="47">
        <f xml:space="preserve"> 'סיכום עלויות חודשי - בסיס'!M38</f>
        <v>468.39235362087067</v>
      </c>
      <c r="N38" s="47"/>
      <c r="O38" s="127">
        <f t="shared" ref="O38:O41" si="19">SUM(F38:N38)</f>
        <v>1992.2987228249058</v>
      </c>
    </row>
    <row r="39" spans="1:15">
      <c r="A39" s="332"/>
      <c r="B39" s="335"/>
      <c r="C39" s="338"/>
      <c r="D39" s="341"/>
      <c r="E39" s="30" t="s">
        <v>66</v>
      </c>
      <c r="F39" s="47"/>
      <c r="G39" s="47">
        <f xml:space="preserve"> ( $D$12 * $C$38  * $E$3)</f>
        <v>446.49729093962833</v>
      </c>
      <c r="H39" s="47">
        <f xml:space="preserve"> ( D38  * $E$3)</f>
        <v>6396.9359445116161</v>
      </c>
      <c r="I39" s="47"/>
      <c r="J39" s="47"/>
      <c r="K39" s="50"/>
      <c r="L39" s="47"/>
      <c r="M39" s="47"/>
      <c r="N39" s="48"/>
      <c r="O39" s="127">
        <f t="shared" si="19"/>
        <v>6843.4332354512444</v>
      </c>
    </row>
    <row r="40" spans="1:15">
      <c r="A40" s="332"/>
      <c r="B40" s="335"/>
      <c r="C40" s="338"/>
      <c r="D40" s="341"/>
      <c r="E40" s="30" t="s">
        <v>67</v>
      </c>
      <c r="F40" s="47">
        <f>'סיכום עלויות חודשי - בסיס'!F40  *( 1 + $I$3 )</f>
        <v>918.71678128266763</v>
      </c>
      <c r="G40" s="47">
        <f>'סיכום עלויות חודשי - בסיס'!G40  *( 1 + $I$3 )</f>
        <v>1609.1657888442851</v>
      </c>
      <c r="H40" s="47">
        <f>'סיכום עלויות חודשי - בסיס'!H40  *( 1 + $I$3 )</f>
        <v>779.48131682167548</v>
      </c>
      <c r="I40" s="47"/>
      <c r="J40" s="47">
        <f>'סיכום עלויות חודשי - בסיס'!J40  *( 1 + $I$3 )</f>
        <v>144.21583037302838</v>
      </c>
      <c r="K40" s="47"/>
      <c r="L40" s="47"/>
      <c r="M40" s="47"/>
      <c r="N40" s="47"/>
      <c r="O40" s="127">
        <f t="shared" si="19"/>
        <v>3451.5797173216565</v>
      </c>
    </row>
    <row r="41" spans="1:15">
      <c r="A41" s="332"/>
      <c r="B41" s="335"/>
      <c r="C41" s="338"/>
      <c r="D41" s="341"/>
      <c r="E41" s="30" t="s">
        <v>68</v>
      </c>
      <c r="F41" s="47">
        <f>'סיכום עלויות חודשי - בסיס'!F41 * ( 1 + $K$3)</f>
        <v>1769.0998120290003</v>
      </c>
      <c r="G41" s="47">
        <f>'סיכום עלויות חודשי - בסיס'!G41 * ( 1 + $K$3)</f>
        <v>3098.6425333315392</v>
      </c>
      <c r="H41" s="47">
        <f>'סיכום עלויות חודשי - בסיס'!H41 * ( 1 + $K$3)</f>
        <v>1500.9851557779084</v>
      </c>
      <c r="I41" s="47"/>
      <c r="J41" s="47">
        <f>'סיכום עלויות חודשי - בסיס'!J41 * ( 1 + $K$3)</f>
        <v>277.70495064684411</v>
      </c>
      <c r="K41" s="47"/>
      <c r="L41" s="47"/>
      <c r="M41" s="47"/>
      <c r="N41" s="47"/>
      <c r="O41" s="127">
        <f t="shared" si="19"/>
        <v>6646.432451785292</v>
      </c>
    </row>
    <row r="42" spans="1:15">
      <c r="A42" s="333"/>
      <c r="B42" s="336"/>
      <c r="C42" s="339"/>
      <c r="D42" s="342"/>
      <c r="E42" s="129" t="s">
        <v>33</v>
      </c>
      <c r="F42" s="130">
        <f>SUM(F38:F41)</f>
        <v>2687.8165933116679</v>
      </c>
      <c r="G42" s="130">
        <f t="shared" ref="G42:H42" si="20">SUM(G38:G41)</f>
        <v>5154.3056131154526</v>
      </c>
      <c r="H42" s="130">
        <f t="shared" si="20"/>
        <v>8677.4024171111996</v>
      </c>
      <c r="I42" s="130"/>
      <c r="J42" s="130">
        <f t="shared" ref="J42" si="21">SUM(J38:J41)</f>
        <v>421.92078101987249</v>
      </c>
      <c r="K42" s="130"/>
      <c r="L42" s="130">
        <f t="shared" ref="L42:M42" si="22">SUM(L38:L41)</f>
        <v>1523.9063692040352</v>
      </c>
      <c r="M42" s="130">
        <f t="shared" si="22"/>
        <v>468.39235362087067</v>
      </c>
      <c r="N42" s="130"/>
      <c r="O42" s="131">
        <f>SUM(F42:N42)</f>
        <v>18933.744127383099</v>
      </c>
    </row>
    <row r="43" spans="1:15">
      <c r="A43" s="319" t="s">
        <v>6</v>
      </c>
      <c r="B43" s="322">
        <f>SUM(B13:B38)</f>
        <v>27313.32</v>
      </c>
      <c r="C43" s="325">
        <f>SUM(C13:C38)</f>
        <v>1</v>
      </c>
      <c r="D43" s="328">
        <f>SUM(D12:D42)</f>
        <v>6108.6875</v>
      </c>
      <c r="E43" s="84" t="s">
        <v>69</v>
      </c>
      <c r="F43" s="86">
        <f xml:space="preserve"> F13 + F18 + F23 + F28 + F33 + F38</f>
        <v>0</v>
      </c>
      <c r="G43" s="86">
        <f t="shared" ref="G43:O43" si="23" xml:space="preserve"> G13 + G18 + G23 + G28 + G33 + G38</f>
        <v>0</v>
      </c>
      <c r="H43" s="86">
        <f t="shared" si="23"/>
        <v>0</v>
      </c>
      <c r="I43" s="86"/>
      <c r="J43" s="86">
        <f t="shared" si="23"/>
        <v>0</v>
      </c>
      <c r="K43" s="86"/>
      <c r="L43" s="86">
        <f t="shared" si="23"/>
        <v>46576.856801517337</v>
      </c>
      <c r="M43" s="86">
        <f t="shared" si="23"/>
        <v>14364.75</v>
      </c>
      <c r="N43" s="86">
        <f t="shared" si="23"/>
        <v>8783.84</v>
      </c>
      <c r="O43" s="126">
        <f t="shared" si="23"/>
        <v>69725.446801517333</v>
      </c>
    </row>
    <row r="44" spans="1:15">
      <c r="A44" s="320"/>
      <c r="B44" s="323"/>
      <c r="C44" s="326"/>
      <c r="D44" s="329"/>
      <c r="E44" s="84" t="s">
        <v>66</v>
      </c>
      <c r="F44" s="86">
        <f t="shared" ref="F44:O46" si="24" xml:space="preserve"> F14 + F19 + F24 + F29 + F34 + F39</f>
        <v>0</v>
      </c>
      <c r="G44" s="86">
        <f t="shared" si="24"/>
        <v>13646.796681624783</v>
      </c>
      <c r="H44" s="86">
        <f t="shared" si="24"/>
        <v>228690.46001629028</v>
      </c>
      <c r="I44" s="86"/>
      <c r="J44" s="86">
        <f t="shared" si="24"/>
        <v>0</v>
      </c>
      <c r="K44" s="86"/>
      <c r="L44" s="86">
        <f t="shared" si="24"/>
        <v>0</v>
      </c>
      <c r="M44" s="86">
        <f t="shared" si="24"/>
        <v>0</v>
      </c>
      <c r="N44" s="86">
        <f t="shared" si="24"/>
        <v>0</v>
      </c>
      <c r="O44" s="126">
        <f t="shared" si="24"/>
        <v>242337.25669791509</v>
      </c>
    </row>
    <row r="45" spans="1:15">
      <c r="A45" s="320"/>
      <c r="B45" s="323"/>
      <c r="C45" s="326"/>
      <c r="D45" s="329"/>
      <c r="E45" s="84" t="s">
        <v>67</v>
      </c>
      <c r="F45" s="86">
        <f t="shared" si="24"/>
        <v>28079.769746814727</v>
      </c>
      <c r="G45" s="86">
        <f t="shared" si="24"/>
        <v>49182.735915756239</v>
      </c>
      <c r="H45" s="86">
        <f t="shared" si="24"/>
        <v>16324.422544596513</v>
      </c>
      <c r="I45" s="86"/>
      <c r="J45" s="86">
        <f t="shared" si="24"/>
        <v>4407.8299136612559</v>
      </c>
      <c r="K45" s="86"/>
      <c r="L45" s="86">
        <f t="shared" si="24"/>
        <v>0</v>
      </c>
      <c r="M45" s="86">
        <f t="shared" si="24"/>
        <v>0</v>
      </c>
      <c r="N45" s="86">
        <f t="shared" si="24"/>
        <v>0</v>
      </c>
      <c r="O45" s="126">
        <f t="shared" si="24"/>
        <v>97994.758120828745</v>
      </c>
    </row>
    <row r="46" spans="1:15">
      <c r="A46" s="320"/>
      <c r="B46" s="323"/>
      <c r="C46" s="326"/>
      <c r="D46" s="329"/>
      <c r="E46" s="84" t="s">
        <v>68</v>
      </c>
      <c r="F46" s="86">
        <f t="shared" si="24"/>
        <v>54070.97855723551</v>
      </c>
      <c r="G46" s="86">
        <f t="shared" si="24"/>
        <v>94707.281543457124</v>
      </c>
      <c r="H46" s="86">
        <f t="shared" si="24"/>
        <v>31434.641712767527</v>
      </c>
      <c r="I46" s="86"/>
      <c r="J46" s="86">
        <f t="shared" si="24"/>
        <v>8487.8073750072308</v>
      </c>
      <c r="K46" s="86"/>
      <c r="L46" s="86">
        <f t="shared" si="24"/>
        <v>0</v>
      </c>
      <c r="M46" s="86">
        <f t="shared" si="24"/>
        <v>0</v>
      </c>
      <c r="N46" s="86">
        <f t="shared" si="24"/>
        <v>0</v>
      </c>
      <c r="O46" s="126">
        <f t="shared" si="24"/>
        <v>188700.70918846736</v>
      </c>
    </row>
    <row r="47" spans="1:15">
      <c r="A47" s="321"/>
      <c r="B47" s="324"/>
      <c r="C47" s="327"/>
      <c r="D47" s="330"/>
      <c r="E47" s="84" t="s">
        <v>33</v>
      </c>
      <c r="F47" s="86">
        <f>SUM(F43:F46)</f>
        <v>82150.748304050241</v>
      </c>
      <c r="G47" s="86">
        <f t="shared" ref="G47:O47" si="25">SUM(G43:G46)</f>
        <v>157536.81414083816</v>
      </c>
      <c r="H47" s="86">
        <f t="shared" si="25"/>
        <v>276449.52427365433</v>
      </c>
      <c r="I47" s="86"/>
      <c r="J47" s="86">
        <f t="shared" si="25"/>
        <v>12895.637288668488</v>
      </c>
      <c r="K47" s="86"/>
      <c r="L47" s="86">
        <f t="shared" si="25"/>
        <v>46576.856801517337</v>
      </c>
      <c r="M47" s="86">
        <f t="shared" si="25"/>
        <v>14364.75</v>
      </c>
      <c r="N47" s="86">
        <f t="shared" si="25"/>
        <v>8783.84</v>
      </c>
      <c r="O47" s="126">
        <f t="shared" si="25"/>
        <v>598758.17080872855</v>
      </c>
    </row>
    <row r="48" spans="1:15" ht="15">
      <c r="A48" s="87" t="s">
        <v>36</v>
      </c>
      <c r="B48" s="88" t="s">
        <v>21</v>
      </c>
      <c r="C48" s="9" t="s">
        <v>230</v>
      </c>
      <c r="D48" s="83">
        <f>'סיכום עלויות חודשי - בסיס'!D48</f>
        <v>1300.75</v>
      </c>
      <c r="E48" s="30"/>
      <c r="F48" s="47"/>
      <c r="G48" s="47"/>
      <c r="H48" s="47"/>
      <c r="I48" s="47"/>
      <c r="J48" s="47"/>
      <c r="K48" s="50"/>
      <c r="L48" s="47"/>
      <c r="M48" s="47"/>
      <c r="N48" s="47"/>
      <c r="O48" s="127">
        <f t="shared" ref="O48" si="26">SUM(F48:N48)</f>
        <v>0</v>
      </c>
    </row>
    <row r="49" spans="1:15">
      <c r="A49" s="331" t="s">
        <v>7</v>
      </c>
      <c r="B49" s="334">
        <v>250</v>
      </c>
      <c r="C49" s="337">
        <f>B49/$B$69</f>
        <v>8.6595081399376522E-2</v>
      </c>
      <c r="D49" s="340">
        <f xml:space="preserve"> $D$48 * C49</f>
        <v>112.63855213023901</v>
      </c>
      <c r="E49" s="30" t="s">
        <v>69</v>
      </c>
      <c r="F49" s="47"/>
      <c r="G49" s="47"/>
      <c r="H49" s="47"/>
      <c r="I49" s="47"/>
      <c r="J49" s="47"/>
      <c r="K49" s="47"/>
      <c r="L49" s="47">
        <f xml:space="preserve"> 'סיכום עלויות חודשי - בסיס'!L49</f>
        <v>426.31998601339325</v>
      </c>
      <c r="M49" s="47">
        <f xml:space="preserve"> 'סיכום עלויות חודשי - בסיס'!M49</f>
        <v>286.80290959473501</v>
      </c>
      <c r="N49" s="47"/>
      <c r="O49" s="127">
        <f t="shared" ref="O49:O52" si="27">SUM(F49:N49)</f>
        <v>713.12289560812826</v>
      </c>
    </row>
    <row r="50" spans="1:15">
      <c r="A50" s="332"/>
      <c r="B50" s="335"/>
      <c r="C50" s="338"/>
      <c r="D50" s="341"/>
      <c r="E50" s="30" t="s">
        <v>66</v>
      </c>
      <c r="F50" s="47"/>
      <c r="G50" s="47"/>
      <c r="H50" s="47"/>
      <c r="I50" s="47">
        <f xml:space="preserve"> ( $D$49 * $E$3)</f>
        <v>4468.4750564940859</v>
      </c>
      <c r="J50" s="47"/>
      <c r="K50" s="47"/>
      <c r="L50" s="47"/>
      <c r="M50" s="47"/>
      <c r="N50" s="47"/>
      <c r="O50" s="127">
        <f t="shared" si="27"/>
        <v>4468.4750564940859</v>
      </c>
    </row>
    <row r="51" spans="1:15">
      <c r="A51" s="332"/>
      <c r="B51" s="335"/>
      <c r="C51" s="338"/>
      <c r="D51" s="341"/>
      <c r="E51" s="30" t="s">
        <v>67</v>
      </c>
      <c r="F51" s="47">
        <f>'סיכום עלויות חודשי - בסיס'!F51  *( 1 + $I$3 )</f>
        <v>257.01534770228164</v>
      </c>
      <c r="G51" s="47"/>
      <c r="H51" s="47"/>
      <c r="I51" s="47">
        <f>'סיכום עלויות חודשי - בסיס'!I51  *( 1 + $I$3 )</f>
        <v>875.4622280094859</v>
      </c>
      <c r="J51" s="47"/>
      <c r="K51" s="47">
        <f>'סיכום עלויות חודשי - בסיס'!K51  *( 1 + $I$3 )</f>
        <v>293.42336448405831</v>
      </c>
      <c r="L51" s="47"/>
      <c r="M51" s="47"/>
      <c r="N51" s="47"/>
      <c r="O51" s="127">
        <f t="shared" si="27"/>
        <v>1425.9009401958258</v>
      </c>
    </row>
    <row r="52" spans="1:15">
      <c r="A52" s="332"/>
      <c r="B52" s="335"/>
      <c r="C52" s="338"/>
      <c r="D52" s="341"/>
      <c r="E52" s="30" t="s">
        <v>68</v>
      </c>
      <c r="F52" s="47">
        <f>'סיכום עלויות חודשי - בסיס'!F52 * ( 1 + $K$3)</f>
        <v>494.91400676698686</v>
      </c>
      <c r="G52" s="47"/>
      <c r="H52" s="47"/>
      <c r="I52" s="47">
        <f>'סיכום עלויות חודשי - בסיס'!I52 * ( 1 + $K$3)</f>
        <v>1685.8079601503957</v>
      </c>
      <c r="J52" s="47"/>
      <c r="K52" s="47">
        <f>'סיכום עלויות חודשי - בסיס'!K52 * ( 1 + $K$3)</f>
        <v>565.02202803885746</v>
      </c>
      <c r="L52" s="47"/>
      <c r="M52" s="47"/>
      <c r="N52" s="47"/>
      <c r="O52" s="127">
        <f t="shared" si="27"/>
        <v>2745.7439949562404</v>
      </c>
    </row>
    <row r="53" spans="1:15">
      <c r="A53" s="333"/>
      <c r="B53" s="336"/>
      <c r="C53" s="339"/>
      <c r="D53" s="342"/>
      <c r="E53" s="129" t="s">
        <v>33</v>
      </c>
      <c r="F53" s="130">
        <f>SUM(F49:F52)</f>
        <v>751.92935446926845</v>
      </c>
      <c r="G53" s="130"/>
      <c r="H53" s="130"/>
      <c r="I53" s="130">
        <f t="shared" ref="I53:M53" si="28">SUM(I49:I52)</f>
        <v>7029.7452446539683</v>
      </c>
      <c r="J53" s="130"/>
      <c r="K53" s="130">
        <f t="shared" si="28"/>
        <v>858.44539252291577</v>
      </c>
      <c r="L53" s="130">
        <f t="shared" si="28"/>
        <v>426.31998601339325</v>
      </c>
      <c r="M53" s="130">
        <f t="shared" si="28"/>
        <v>286.80290959473501</v>
      </c>
      <c r="N53" s="130"/>
      <c r="O53" s="131">
        <f>SUM(F53:N53)</f>
        <v>9353.2428872542805</v>
      </c>
    </row>
    <row r="54" spans="1:15">
      <c r="A54" s="331" t="s">
        <v>8</v>
      </c>
      <c r="B54" s="334">
        <v>255</v>
      </c>
      <c r="C54" s="337">
        <f>B54/$B$69</f>
        <v>8.8326983027364039E-2</v>
      </c>
      <c r="D54" s="340">
        <f t="shared" ref="D54" si="29" xml:space="preserve"> $D$48 * C54</f>
        <v>114.89132317284377</v>
      </c>
      <c r="E54" s="30" t="s">
        <v>69</v>
      </c>
      <c r="F54" s="47"/>
      <c r="G54" s="47"/>
      <c r="H54" s="47"/>
      <c r="I54" s="47"/>
      <c r="J54" s="47"/>
      <c r="K54" s="47"/>
      <c r="L54" s="47">
        <f xml:space="preserve"> 'סיכום עלויות חודשי - בסיס'!L54</f>
        <v>434.84638573366107</v>
      </c>
      <c r="M54" s="47">
        <f xml:space="preserve"> 'סיכום עלויות חודשי - בסיס'!M54</f>
        <v>292.53896778662971</v>
      </c>
      <c r="N54" s="47"/>
      <c r="O54" s="127">
        <f t="shared" ref="O54:O57" si="30">SUM(F54:N54)</f>
        <v>727.38535352029078</v>
      </c>
    </row>
    <row r="55" spans="1:15">
      <c r="A55" s="332"/>
      <c r="B55" s="335"/>
      <c r="C55" s="338"/>
      <c r="D55" s="341"/>
      <c r="E55" s="30" t="s">
        <v>66</v>
      </c>
      <c r="F55" s="47"/>
      <c r="G55" s="47"/>
      <c r="H55" s="47"/>
      <c r="I55" s="47">
        <f xml:space="preserve"> ( $D$54 * $E$3)</f>
        <v>4557.8445576239665</v>
      </c>
      <c r="J55" s="47"/>
      <c r="K55" s="47"/>
      <c r="L55" s="47"/>
      <c r="M55" s="47"/>
      <c r="N55" s="47"/>
      <c r="O55" s="127">
        <f t="shared" si="30"/>
        <v>4557.8445576239665</v>
      </c>
    </row>
    <row r="56" spans="1:15">
      <c r="A56" s="332"/>
      <c r="B56" s="335"/>
      <c r="C56" s="338"/>
      <c r="D56" s="341"/>
      <c r="E56" s="30" t="s">
        <v>67</v>
      </c>
      <c r="F56" s="47">
        <f>'סיכום עלויות חודשי - בסיס'!F56  *( 1 + $I$3 )</f>
        <v>262.15565465632727</v>
      </c>
      <c r="G56" s="47"/>
      <c r="H56" s="47"/>
      <c r="I56" s="47">
        <f>'סיכום עלויות חודשי - בסיס'!I56  *( 1 + $I$3 )</f>
        <v>892.97147256967548</v>
      </c>
      <c r="J56" s="47"/>
      <c r="K56" s="47">
        <f>'סיכום עלויות חודשי - בסיס'!K56  *( 1 + $I$3 )</f>
        <v>299.3033355000876</v>
      </c>
      <c r="L56" s="47"/>
      <c r="M56" s="47"/>
      <c r="N56" s="47"/>
      <c r="O56" s="127">
        <f t="shared" si="30"/>
        <v>1454.4304627260904</v>
      </c>
    </row>
    <row r="57" spans="1:15">
      <c r="A57" s="332"/>
      <c r="B57" s="335"/>
      <c r="C57" s="338"/>
      <c r="D57" s="341"/>
      <c r="E57" s="30" t="s">
        <v>68</v>
      </c>
      <c r="F57" s="47">
        <f>'סיכום עלויות חודשי - בסיס'!F57 * ( 1 + $K$3)</f>
        <v>504.81228690232649</v>
      </c>
      <c r="G57" s="47"/>
      <c r="H57" s="47"/>
      <c r="I57" s="47">
        <f>'סיכום עלויות חודשי - בסיס'!I57 * ( 1 + $K$3)</f>
        <v>1719.5241193534034</v>
      </c>
      <c r="J57" s="47"/>
      <c r="K57" s="47">
        <f>'סיכום עלויות חודשי - בסיס'!K57 * ( 1 + $K$3)</f>
        <v>576.34462041021959</v>
      </c>
      <c r="L57" s="47"/>
      <c r="M57" s="47"/>
      <c r="N57" s="47"/>
      <c r="O57" s="127">
        <f t="shared" si="30"/>
        <v>2800.6810266659495</v>
      </c>
    </row>
    <row r="58" spans="1:15">
      <c r="A58" s="333"/>
      <c r="B58" s="336"/>
      <c r="C58" s="339"/>
      <c r="D58" s="342"/>
      <c r="E58" s="129" t="s">
        <v>33</v>
      </c>
      <c r="F58" s="130">
        <f>SUM(F54:F57)</f>
        <v>766.96794155865382</v>
      </c>
      <c r="G58" s="130"/>
      <c r="H58" s="130"/>
      <c r="I58" s="130">
        <f t="shared" ref="I58" si="31">SUM(I54:I57)</f>
        <v>7170.3401495470462</v>
      </c>
      <c r="J58" s="130"/>
      <c r="K58" s="130">
        <f t="shared" ref="K58:M58" si="32">SUM(K54:K57)</f>
        <v>875.64795591030725</v>
      </c>
      <c r="L58" s="130">
        <f t="shared" si="32"/>
        <v>434.84638573366107</v>
      </c>
      <c r="M58" s="130">
        <f t="shared" si="32"/>
        <v>292.53896778662971</v>
      </c>
      <c r="N58" s="130"/>
      <c r="O58" s="131">
        <f>SUM(F58:N58)</f>
        <v>9540.3414005362974</v>
      </c>
    </row>
    <row r="59" spans="1:15">
      <c r="A59" s="331" t="s">
        <v>55</v>
      </c>
      <c r="B59" s="334">
        <v>887</v>
      </c>
      <c r="C59" s="337">
        <f>B59/$B$69</f>
        <v>0.30723934880498788</v>
      </c>
      <c r="D59" s="340">
        <f t="shared" ref="D59" si="33" xml:space="preserve"> $D$48 * C59</f>
        <v>399.64158295808801</v>
      </c>
      <c r="E59" s="30" t="s">
        <v>69</v>
      </c>
      <c r="F59" s="47"/>
      <c r="G59" s="47"/>
      <c r="H59" s="47"/>
      <c r="I59" s="47"/>
      <c r="J59" s="47"/>
      <c r="K59" s="47"/>
      <c r="L59" s="47">
        <f xml:space="preserve"> 'סיכום עלויות חודשי - בסיס'!L59</f>
        <v>1512.5833103755192</v>
      </c>
      <c r="M59" s="47">
        <f xml:space="preserve"> 'סיכום עלויות חודשי - בסיס'!M59</f>
        <v>1017.5767232421199</v>
      </c>
      <c r="N59" s="47"/>
      <c r="O59" s="127">
        <f t="shared" ref="O59:O62" si="34">SUM(F59:N59)</f>
        <v>2530.1600336176389</v>
      </c>
    </row>
    <row r="60" spans="1:15">
      <c r="A60" s="332"/>
      <c r="B60" s="335"/>
      <c r="C60" s="338"/>
      <c r="D60" s="341"/>
      <c r="E60" s="30" t="s">
        <v>66</v>
      </c>
      <c r="F60" s="47"/>
      <c r="G60" s="47"/>
      <c r="H60" s="47"/>
      <c r="I60" s="47">
        <f xml:space="preserve"> ( $D$59 * $E$3)</f>
        <v>15854.149500441017</v>
      </c>
      <c r="J60" s="47"/>
      <c r="K60" s="47"/>
      <c r="L60" s="47"/>
      <c r="M60" s="47"/>
      <c r="N60" s="47"/>
      <c r="O60" s="127">
        <f t="shared" si="34"/>
        <v>15854.149500441017</v>
      </c>
    </row>
    <row r="61" spans="1:15">
      <c r="A61" s="332"/>
      <c r="B61" s="335"/>
      <c r="C61" s="338"/>
      <c r="D61" s="341"/>
      <c r="E61" s="30" t="s">
        <v>67</v>
      </c>
      <c r="F61" s="47">
        <f>'סיכום עלויות חודשי - בסיס'!F61  *( 1 + $I$3 )</f>
        <v>911.89045364769515</v>
      </c>
      <c r="G61" s="47"/>
      <c r="H61" s="47"/>
      <c r="I61" s="47">
        <f>'סיכום עלויות חודשי - בסיס'!I61  *( 1 + $I$3 )</f>
        <v>3106.1399849776562</v>
      </c>
      <c r="J61" s="47"/>
      <c r="K61" s="47">
        <f>'סיכום עלויות חודשי - בסיס'!K61  *( 1 + $I$3 )</f>
        <v>1041.0534430904559</v>
      </c>
      <c r="L61" s="47"/>
      <c r="M61" s="47"/>
      <c r="N61" s="47"/>
      <c r="O61" s="127">
        <f t="shared" si="34"/>
        <v>5059.0838817158074</v>
      </c>
    </row>
    <row r="62" spans="1:15">
      <c r="A62" s="332"/>
      <c r="B62" s="335"/>
      <c r="C62" s="338"/>
      <c r="D62" s="341"/>
      <c r="E62" s="30" t="s">
        <v>68</v>
      </c>
      <c r="F62" s="47">
        <f>'סיכום עלויות חודשי - בסיס'!F62 * ( 1 + $K$3)</f>
        <v>1755.9548960092693</v>
      </c>
      <c r="G62" s="47"/>
      <c r="H62" s="47"/>
      <c r="I62" s="47">
        <f>'סיכום עלויות חודשי - בסיס'!I62 * ( 1 + $K$3)</f>
        <v>5981.2466426136052</v>
      </c>
      <c r="J62" s="47"/>
      <c r="K62" s="47">
        <f>'סיכום עלויות חודשי - בסיס'!K62 * ( 1 + $K$3)</f>
        <v>2004.6737884902227</v>
      </c>
      <c r="L62" s="47"/>
      <c r="M62" s="47"/>
      <c r="N62" s="47"/>
      <c r="O62" s="127">
        <f t="shared" si="34"/>
        <v>9741.8753271130972</v>
      </c>
    </row>
    <row r="63" spans="1:15">
      <c r="A63" s="333"/>
      <c r="B63" s="336"/>
      <c r="C63" s="339"/>
      <c r="D63" s="342"/>
      <c r="E63" s="129" t="s">
        <v>33</v>
      </c>
      <c r="F63" s="130">
        <f>SUM(F59:F62)</f>
        <v>2667.8453496569646</v>
      </c>
      <c r="G63" s="130"/>
      <c r="H63" s="130"/>
      <c r="I63" s="130">
        <f t="shared" ref="I63" si="35">SUM(I59:I62)</f>
        <v>24941.53612803228</v>
      </c>
      <c r="J63" s="130"/>
      <c r="K63" s="130">
        <f t="shared" ref="K63:M63" si="36">SUM(K59:K62)</f>
        <v>3045.7272315806786</v>
      </c>
      <c r="L63" s="130">
        <f t="shared" si="36"/>
        <v>1512.5833103755192</v>
      </c>
      <c r="M63" s="130">
        <f t="shared" si="36"/>
        <v>1017.5767232421199</v>
      </c>
      <c r="N63" s="130"/>
      <c r="O63" s="131">
        <f>SUM(F63:N63)</f>
        <v>33185.268742887558</v>
      </c>
    </row>
    <row r="64" spans="1:15">
      <c r="A64" s="331" t="s">
        <v>9</v>
      </c>
      <c r="B64" s="334">
        <v>1495</v>
      </c>
      <c r="C64" s="337">
        <f>B64/$B$69</f>
        <v>0.51783858676827155</v>
      </c>
      <c r="D64" s="340">
        <f t="shared" ref="D64" si="37" xml:space="preserve"> $D$48 * C64</f>
        <v>673.57854173882924</v>
      </c>
      <c r="E64" s="30" t="s">
        <v>69</v>
      </c>
      <c r="F64" s="47"/>
      <c r="G64" s="47"/>
      <c r="H64" s="47"/>
      <c r="I64" s="47"/>
      <c r="J64" s="47"/>
      <c r="K64" s="47"/>
      <c r="L64" s="47">
        <f xml:space="preserve"> 'סיכום עלויות חודשי - בסיס'!L64</f>
        <v>2549.3935163600918</v>
      </c>
      <c r="M64" s="47">
        <f xml:space="preserve"> 'סיכום עלויות חודשי - בסיס'!M64</f>
        <v>1715.0813993765157</v>
      </c>
      <c r="N64" s="47"/>
      <c r="O64" s="127">
        <f t="shared" ref="O64:O67" si="38">SUM(F64:N64)</f>
        <v>4264.4749157366077</v>
      </c>
    </row>
    <row r="65" spans="1:16">
      <c r="A65" s="332"/>
      <c r="B65" s="335"/>
      <c r="C65" s="338"/>
      <c r="D65" s="341"/>
      <c r="E65" s="30" t="s">
        <v>66</v>
      </c>
      <c r="F65" s="47"/>
      <c r="G65" s="47"/>
      <c r="H65" s="47"/>
      <c r="I65" s="47">
        <f xml:space="preserve"> ( $D$64 * $E$3)</f>
        <v>26721.480837834632</v>
      </c>
      <c r="J65" s="47"/>
      <c r="K65" s="47"/>
      <c r="L65" s="47"/>
      <c r="M65" s="47"/>
      <c r="N65" s="47"/>
      <c r="O65" s="127">
        <f t="shared" si="38"/>
        <v>26721.480837834632</v>
      </c>
    </row>
    <row r="66" spans="1:16">
      <c r="A66" s="332"/>
      <c r="B66" s="335"/>
      <c r="C66" s="338"/>
      <c r="D66" s="341"/>
      <c r="E66" s="30" t="s">
        <v>67</v>
      </c>
      <c r="F66" s="47">
        <f>'סיכום עלויות חודשי - בסיס'!F66  *( 1 + $I$3 )</f>
        <v>1536.9517792596441</v>
      </c>
      <c r="G66" s="47"/>
      <c r="H66" s="47"/>
      <c r="I66" s="47">
        <f>'סיכום עלויות חודשי - בסיס'!I66  *( 1 + $I$3 )</f>
        <v>5235.2641234967241</v>
      </c>
      <c r="J66" s="47"/>
      <c r="K66" s="47">
        <f>'סיכום עלויות חודשי - בסיס'!K66  *( 1 + $I$3 )</f>
        <v>1754.6602158883204</v>
      </c>
      <c r="L66" s="47"/>
      <c r="M66" s="47"/>
      <c r="N66" s="47"/>
      <c r="O66" s="127">
        <f t="shared" si="38"/>
        <v>8526.8761186446882</v>
      </c>
    </row>
    <row r="67" spans="1:16">
      <c r="A67" s="332"/>
      <c r="B67" s="335"/>
      <c r="C67" s="338"/>
      <c r="D67" s="341"/>
      <c r="E67" s="30" t="s">
        <v>68</v>
      </c>
      <c r="F67" s="47">
        <f>'סיכום עלויות חודשי - בסיס'!F67 * ( 1 + $K$3)</f>
        <v>2959.5857604665816</v>
      </c>
      <c r="G67" s="47"/>
      <c r="H67" s="47"/>
      <c r="I67" s="47">
        <f>'סיכום עלויות חודשי - בסיס'!I67 * ( 1 + $K$3)</f>
        <v>10081.131601699362</v>
      </c>
      <c r="J67" s="47"/>
      <c r="K67" s="47">
        <f>'סיכום עלויות חודשי - בסיס'!K67 * ( 1 + $K$3)</f>
        <v>3378.8095758617824</v>
      </c>
      <c r="L67" s="47"/>
      <c r="M67" s="47"/>
      <c r="N67" s="47"/>
      <c r="O67" s="127">
        <f t="shared" si="38"/>
        <v>16419.526938027728</v>
      </c>
    </row>
    <row r="68" spans="1:16">
      <c r="A68" s="333"/>
      <c r="B68" s="336"/>
      <c r="C68" s="339"/>
      <c r="D68" s="342"/>
      <c r="E68" s="129" t="s">
        <v>33</v>
      </c>
      <c r="F68" s="130">
        <f>SUM(F64:F67)</f>
        <v>4496.537539726226</v>
      </c>
      <c r="G68" s="130"/>
      <c r="H68" s="130"/>
      <c r="I68" s="130">
        <f t="shared" ref="I68" si="39">SUM(I64:I67)</f>
        <v>42037.876563030717</v>
      </c>
      <c r="J68" s="130"/>
      <c r="K68" s="130">
        <f t="shared" ref="K68:M68" si="40">SUM(K64:K67)</f>
        <v>5133.4697917501026</v>
      </c>
      <c r="L68" s="130">
        <f t="shared" si="40"/>
        <v>2549.3935163600918</v>
      </c>
      <c r="M68" s="130">
        <f t="shared" si="40"/>
        <v>1715.0813993765157</v>
      </c>
      <c r="N68" s="130"/>
      <c r="O68" s="131">
        <f>SUM(F68:N68)</f>
        <v>55932.358810243655</v>
      </c>
    </row>
    <row r="69" spans="1:16">
      <c r="A69" s="319" t="s">
        <v>10</v>
      </c>
      <c r="B69" s="322">
        <f>SUM(B49:B64)</f>
        <v>2887</v>
      </c>
      <c r="C69" s="325"/>
      <c r="D69" s="328">
        <f xml:space="preserve"> D49 + D54 + D59 + D64</f>
        <v>1300.75</v>
      </c>
      <c r="E69" s="84" t="s">
        <v>69</v>
      </c>
      <c r="F69" s="86">
        <f xml:space="preserve"> F49 + F54 + F59 + F64</f>
        <v>0</v>
      </c>
      <c r="G69" s="86">
        <f t="shared" ref="G69:O69" si="41" xml:space="preserve"> G49 + G54 + G59 + G64</f>
        <v>0</v>
      </c>
      <c r="H69" s="86">
        <f t="shared" si="41"/>
        <v>0</v>
      </c>
      <c r="I69" s="86">
        <f t="shared" si="41"/>
        <v>0</v>
      </c>
      <c r="J69" s="86">
        <f t="shared" si="41"/>
        <v>0</v>
      </c>
      <c r="K69" s="86">
        <f t="shared" si="41"/>
        <v>0</v>
      </c>
      <c r="L69" s="86">
        <f t="shared" si="41"/>
        <v>4923.143198482665</v>
      </c>
      <c r="M69" s="86">
        <f t="shared" si="41"/>
        <v>3312</v>
      </c>
      <c r="N69" s="86">
        <f t="shared" si="41"/>
        <v>0</v>
      </c>
      <c r="O69" s="126">
        <f t="shared" si="41"/>
        <v>8235.1431984826668</v>
      </c>
    </row>
    <row r="70" spans="1:16">
      <c r="A70" s="320"/>
      <c r="B70" s="323"/>
      <c r="C70" s="326"/>
      <c r="D70" s="329"/>
      <c r="E70" s="84" t="s">
        <v>66</v>
      </c>
      <c r="F70" s="86">
        <f t="shared" ref="F70:O73" si="42" xml:space="preserve"> F50 + F55 + F60 + F65</f>
        <v>0</v>
      </c>
      <c r="G70" s="86">
        <f t="shared" si="42"/>
        <v>0</v>
      </c>
      <c r="H70" s="86">
        <f t="shared" si="42"/>
        <v>0</v>
      </c>
      <c r="I70" s="86">
        <f t="shared" si="42"/>
        <v>51601.949952393697</v>
      </c>
      <c r="J70" s="86">
        <f t="shared" si="42"/>
        <v>0</v>
      </c>
      <c r="K70" s="86">
        <f t="shared" si="42"/>
        <v>0</v>
      </c>
      <c r="L70" s="86">
        <f t="shared" si="42"/>
        <v>0</v>
      </c>
      <c r="M70" s="86">
        <f t="shared" si="42"/>
        <v>0</v>
      </c>
      <c r="N70" s="86">
        <f t="shared" si="42"/>
        <v>0</v>
      </c>
      <c r="O70" s="126">
        <f t="shared" si="42"/>
        <v>51601.949952393697</v>
      </c>
    </row>
    <row r="71" spans="1:16">
      <c r="A71" s="320"/>
      <c r="B71" s="323"/>
      <c r="C71" s="326"/>
      <c r="D71" s="329"/>
      <c r="E71" s="84" t="s">
        <v>67</v>
      </c>
      <c r="F71" s="86">
        <f t="shared" si="42"/>
        <v>2968.0132352659484</v>
      </c>
      <c r="G71" s="86">
        <f t="shared" si="42"/>
        <v>0</v>
      </c>
      <c r="H71" s="86">
        <f t="shared" si="42"/>
        <v>0</v>
      </c>
      <c r="I71" s="86">
        <f t="shared" si="42"/>
        <v>10109.837809053541</v>
      </c>
      <c r="J71" s="86">
        <f t="shared" si="42"/>
        <v>0</v>
      </c>
      <c r="K71" s="86">
        <f t="shared" si="42"/>
        <v>3388.4403589629219</v>
      </c>
      <c r="L71" s="86">
        <f t="shared" si="42"/>
        <v>0</v>
      </c>
      <c r="M71" s="86">
        <f t="shared" si="42"/>
        <v>0</v>
      </c>
      <c r="N71" s="86">
        <f t="shared" si="42"/>
        <v>0</v>
      </c>
      <c r="O71" s="126">
        <f t="shared" si="42"/>
        <v>16466.291403282412</v>
      </c>
    </row>
    <row r="72" spans="1:16">
      <c r="A72" s="320"/>
      <c r="B72" s="323"/>
      <c r="C72" s="326"/>
      <c r="D72" s="329"/>
      <c r="E72" s="84" t="s">
        <v>68</v>
      </c>
      <c r="F72" s="86">
        <f t="shared" si="42"/>
        <v>5715.2669501451637</v>
      </c>
      <c r="G72" s="86">
        <f t="shared" si="42"/>
        <v>0</v>
      </c>
      <c r="H72" s="86">
        <f t="shared" si="42"/>
        <v>0</v>
      </c>
      <c r="I72" s="86">
        <f t="shared" si="42"/>
        <v>19467.710323816766</v>
      </c>
      <c r="J72" s="86">
        <f t="shared" si="42"/>
        <v>0</v>
      </c>
      <c r="K72" s="86">
        <f t="shared" si="42"/>
        <v>6524.8500128010819</v>
      </c>
      <c r="L72" s="86">
        <f t="shared" si="42"/>
        <v>0</v>
      </c>
      <c r="M72" s="86">
        <f t="shared" si="42"/>
        <v>0</v>
      </c>
      <c r="N72" s="86">
        <f t="shared" si="42"/>
        <v>0</v>
      </c>
      <c r="O72" s="126">
        <f t="shared" si="42"/>
        <v>31707.827286763015</v>
      </c>
    </row>
    <row r="73" spans="1:16">
      <c r="A73" s="321"/>
      <c r="B73" s="324"/>
      <c r="C73" s="327"/>
      <c r="D73" s="330"/>
      <c r="E73" s="84" t="s">
        <v>33</v>
      </c>
      <c r="F73" s="86">
        <f t="shared" si="42"/>
        <v>8683.2801854111131</v>
      </c>
      <c r="G73" s="86">
        <f t="shared" si="42"/>
        <v>0</v>
      </c>
      <c r="H73" s="86">
        <f t="shared" si="42"/>
        <v>0</v>
      </c>
      <c r="I73" s="86">
        <f t="shared" si="42"/>
        <v>81179.498085264015</v>
      </c>
      <c r="J73" s="86">
        <f t="shared" si="42"/>
        <v>0</v>
      </c>
      <c r="K73" s="86">
        <f t="shared" si="42"/>
        <v>9913.2903717640038</v>
      </c>
      <c r="L73" s="86">
        <f t="shared" si="42"/>
        <v>4923.143198482665</v>
      </c>
      <c r="M73" s="86">
        <f t="shared" si="42"/>
        <v>3312</v>
      </c>
      <c r="N73" s="86">
        <f t="shared" si="42"/>
        <v>0</v>
      </c>
      <c r="O73" s="126">
        <f t="shared" si="42"/>
        <v>108011.21184092178</v>
      </c>
    </row>
    <row r="74" spans="1:16" ht="15.75" thickBot="1">
      <c r="A74" s="14" t="s">
        <v>20</v>
      </c>
      <c r="B74" s="15">
        <f>B69+B43</f>
        <v>30200.32</v>
      </c>
      <c r="C74" s="15"/>
      <c r="D74" s="15">
        <f t="shared" ref="D74" si="43">D69+D43</f>
        <v>7409.4375</v>
      </c>
      <c r="E74" s="15"/>
      <c r="F74" s="49">
        <f xml:space="preserve"> F73 + F47</f>
        <v>90834.028489461358</v>
      </c>
      <c r="G74" s="49">
        <f t="shared" ref="G74:N74" si="44" xml:space="preserve"> G73 + G47</f>
        <v>157536.81414083816</v>
      </c>
      <c r="H74" s="49">
        <f t="shared" si="44"/>
        <v>276449.52427365433</v>
      </c>
      <c r="I74" s="49">
        <f t="shared" si="44"/>
        <v>81179.498085264015</v>
      </c>
      <c r="J74" s="49">
        <f t="shared" si="44"/>
        <v>12895.637288668488</v>
      </c>
      <c r="K74" s="49">
        <f t="shared" si="44"/>
        <v>9913.2903717640038</v>
      </c>
      <c r="L74" s="49">
        <f t="shared" si="44"/>
        <v>51500</v>
      </c>
      <c r="M74" s="49">
        <f t="shared" si="44"/>
        <v>17676.75</v>
      </c>
      <c r="N74" s="49">
        <f t="shared" si="44"/>
        <v>8783.84</v>
      </c>
      <c r="O74" s="128">
        <f>SUM(F74:N74)</f>
        <v>706769.38264965033</v>
      </c>
    </row>
    <row r="75" spans="1:16" s="2" customFormat="1" ht="15" thickTop="1">
      <c r="A75"/>
      <c r="B75"/>
      <c r="F75" s="31"/>
      <c r="O75" s="122"/>
      <c r="P75"/>
    </row>
    <row r="79" spans="1:16" s="2" customFormat="1">
      <c r="A79"/>
      <c r="B79"/>
      <c r="C79"/>
      <c r="D79"/>
      <c r="E79"/>
      <c r="H79" s="26"/>
      <c r="I79" s="26"/>
      <c r="J79" s="26"/>
      <c r="K79" s="26"/>
      <c r="L79" s="26"/>
      <c r="M79" s="26"/>
      <c r="N79" s="26"/>
      <c r="O79" s="122"/>
      <c r="P79"/>
    </row>
    <row r="80" spans="1:16" s="2" customFormat="1">
      <c r="A80"/>
      <c r="B80"/>
      <c r="C80"/>
      <c r="D80"/>
      <c r="E80"/>
      <c r="H80" s="26"/>
      <c r="I80" s="26"/>
      <c r="J80" s="26"/>
      <c r="K80" s="26"/>
      <c r="L80" s="26"/>
      <c r="M80" s="26"/>
      <c r="N80" s="26"/>
      <c r="O80" s="122"/>
      <c r="P80"/>
    </row>
    <row r="81" spans="1:16" s="2" customFormat="1">
      <c r="A81"/>
      <c r="B81"/>
      <c r="C81"/>
      <c r="D81"/>
      <c r="E81"/>
      <c r="H81" s="26"/>
      <c r="I81" s="26"/>
      <c r="J81" s="26"/>
      <c r="K81" s="26"/>
      <c r="L81" s="26"/>
      <c r="M81" s="26"/>
      <c r="N81" s="26"/>
      <c r="O81" s="122"/>
      <c r="P81"/>
    </row>
    <row r="82" spans="1:16" s="2" customFormat="1">
      <c r="A82"/>
      <c r="B82"/>
      <c r="C82"/>
      <c r="D82"/>
      <c r="E82"/>
      <c r="H82" s="26"/>
      <c r="I82" s="26"/>
      <c r="J82" s="26"/>
      <c r="K82" s="26"/>
      <c r="L82" s="26"/>
      <c r="M82" s="26"/>
      <c r="N82" s="26"/>
      <c r="O82" s="122"/>
      <c r="P82"/>
    </row>
    <row r="83" spans="1:16" s="2" customFormat="1">
      <c r="A83"/>
      <c r="B83"/>
      <c r="C83"/>
      <c r="D83"/>
      <c r="E83"/>
      <c r="H83" s="27"/>
      <c r="I83" s="26"/>
      <c r="J83" s="26"/>
      <c r="K83" s="26"/>
      <c r="L83" s="26"/>
      <c r="M83" s="28"/>
      <c r="N83" s="28"/>
      <c r="O83" s="122"/>
      <c r="P83"/>
    </row>
    <row r="84" spans="1:16" s="2" customFormat="1">
      <c r="A84"/>
      <c r="B84"/>
      <c r="C84"/>
      <c r="D84"/>
      <c r="E84"/>
      <c r="H84" s="26"/>
      <c r="I84" s="26"/>
      <c r="J84" s="26"/>
      <c r="K84" s="26"/>
      <c r="L84" s="26"/>
      <c r="M84" s="27"/>
      <c r="N84" s="27"/>
      <c r="O84" s="122"/>
      <c r="P84"/>
    </row>
    <row r="85" spans="1:16" s="2" customFormat="1">
      <c r="A85"/>
      <c r="B85"/>
      <c r="C85"/>
      <c r="D85"/>
      <c r="E85"/>
      <c r="H85" s="26"/>
      <c r="I85" s="26"/>
      <c r="J85" s="26"/>
      <c r="K85" s="26"/>
      <c r="L85" s="26"/>
      <c r="M85" s="27"/>
      <c r="N85" s="27"/>
      <c r="O85" s="122"/>
      <c r="P85"/>
    </row>
    <row r="86" spans="1:16" s="2" customFormat="1">
      <c r="A86"/>
      <c r="B86"/>
      <c r="C86"/>
      <c r="D86"/>
      <c r="E86"/>
      <c r="H86" s="26"/>
      <c r="I86" s="26"/>
      <c r="J86" s="26"/>
      <c r="K86" s="26"/>
      <c r="L86" s="26"/>
      <c r="M86" s="27"/>
      <c r="N86" s="27"/>
      <c r="O86" s="122"/>
      <c r="P86"/>
    </row>
    <row r="87" spans="1:16" s="2" customFormat="1">
      <c r="A87"/>
      <c r="B87"/>
      <c r="C87"/>
      <c r="D87"/>
      <c r="E87"/>
      <c r="H87" s="26"/>
      <c r="I87" s="26"/>
      <c r="J87" s="26"/>
      <c r="K87" s="26"/>
      <c r="L87" s="26"/>
      <c r="M87" s="27"/>
      <c r="N87" s="27"/>
      <c r="O87" s="122"/>
      <c r="P87"/>
    </row>
    <row r="88" spans="1:16" s="2" customFormat="1">
      <c r="A88"/>
      <c r="B88"/>
      <c r="C88"/>
      <c r="D88"/>
      <c r="E88"/>
      <c r="H88" s="26"/>
      <c r="I88" s="26"/>
      <c r="J88" s="26"/>
      <c r="K88" s="26"/>
      <c r="L88" s="26"/>
      <c r="M88" s="26"/>
      <c r="N88" s="26"/>
      <c r="O88" s="122"/>
      <c r="P88"/>
    </row>
    <row r="89" spans="1:16" s="2" customFormat="1">
      <c r="A89"/>
      <c r="B89"/>
      <c r="C89"/>
      <c r="D89"/>
      <c r="E89"/>
      <c r="H89" s="26"/>
      <c r="I89" s="26"/>
      <c r="J89" s="26"/>
      <c r="K89" s="26"/>
      <c r="L89" s="26"/>
      <c r="M89" s="26"/>
      <c r="N89" s="26"/>
      <c r="O89" s="122"/>
      <c r="P89"/>
    </row>
    <row r="90" spans="1:16" s="2" customFormat="1">
      <c r="A90"/>
      <c r="B90"/>
      <c r="C90"/>
      <c r="D90"/>
      <c r="E90"/>
      <c r="H90" s="26"/>
      <c r="I90" s="26"/>
      <c r="J90" s="26"/>
      <c r="K90" s="26"/>
      <c r="L90" s="26"/>
      <c r="M90" s="26"/>
      <c r="N90" s="26"/>
      <c r="O90" s="122"/>
      <c r="P90"/>
    </row>
    <row r="91" spans="1:16" s="2" customFormat="1">
      <c r="A91"/>
      <c r="B91"/>
      <c r="C91"/>
      <c r="D91"/>
      <c r="E91"/>
      <c r="H91" s="26"/>
      <c r="I91" s="26"/>
      <c r="J91" s="26"/>
      <c r="K91" s="26"/>
      <c r="L91" s="26"/>
      <c r="M91" s="26"/>
      <c r="N91" s="26"/>
      <c r="O91" s="122"/>
      <c r="P91"/>
    </row>
    <row r="92" spans="1:16" s="2" customFormat="1">
      <c r="A92"/>
      <c r="B92"/>
      <c r="C92"/>
      <c r="D92"/>
      <c r="E92"/>
      <c r="H92" s="26"/>
      <c r="I92" s="26"/>
      <c r="J92" s="26"/>
      <c r="K92" s="26"/>
      <c r="L92" s="26"/>
      <c r="M92" s="26"/>
      <c r="N92" s="26"/>
      <c r="O92" s="122"/>
      <c r="P92"/>
    </row>
    <row r="93" spans="1:16" s="2" customFormat="1">
      <c r="A93"/>
      <c r="B93"/>
      <c r="C93"/>
      <c r="D93"/>
      <c r="E93"/>
      <c r="H93" s="26"/>
      <c r="I93" s="26"/>
      <c r="J93" s="26"/>
      <c r="K93" s="26"/>
      <c r="L93" s="26"/>
      <c r="M93" s="26"/>
      <c r="N93" s="26"/>
      <c r="O93" s="122"/>
      <c r="P93"/>
    </row>
    <row r="94" spans="1:16" s="2" customFormat="1">
      <c r="A94"/>
      <c r="B94"/>
      <c r="C94"/>
      <c r="D94"/>
      <c r="E94"/>
      <c r="H94" s="26"/>
      <c r="I94" s="26"/>
      <c r="J94" s="26"/>
      <c r="K94" s="26"/>
      <c r="L94" s="26"/>
      <c r="M94" s="26"/>
      <c r="N94" s="26"/>
      <c r="O94" s="122"/>
      <c r="P94"/>
    </row>
  </sheetData>
  <mergeCells count="53">
    <mergeCell ref="A13:A17"/>
    <mergeCell ref="B13:B17"/>
    <mergeCell ref="C13:C17"/>
    <mergeCell ref="D13:D17"/>
    <mergeCell ref="A2:O2"/>
    <mergeCell ref="A6:A10"/>
    <mergeCell ref="B6:B10"/>
    <mergeCell ref="C6:C10"/>
    <mergeCell ref="D6:D10"/>
    <mergeCell ref="A18:A22"/>
    <mergeCell ref="B18:B22"/>
    <mergeCell ref="C18:C22"/>
    <mergeCell ref="D18:D22"/>
    <mergeCell ref="A23:A27"/>
    <mergeCell ref="B23:B27"/>
    <mergeCell ref="C23:C27"/>
    <mergeCell ref="D23:D27"/>
    <mergeCell ref="A28:A32"/>
    <mergeCell ref="B28:B32"/>
    <mergeCell ref="C28:C32"/>
    <mergeCell ref="D28:D32"/>
    <mergeCell ref="A33:A37"/>
    <mergeCell ref="B33:B37"/>
    <mergeCell ref="C33:C37"/>
    <mergeCell ref="D33:D37"/>
    <mergeCell ref="A38:A42"/>
    <mergeCell ref="B38:B42"/>
    <mergeCell ref="C38:C42"/>
    <mergeCell ref="D38:D42"/>
    <mergeCell ref="A43:A47"/>
    <mergeCell ref="B43:B47"/>
    <mergeCell ref="C43:C47"/>
    <mergeCell ref="D43:D47"/>
    <mergeCell ref="A49:A53"/>
    <mergeCell ref="B49:B53"/>
    <mergeCell ref="C49:C53"/>
    <mergeCell ref="D49:D53"/>
    <mergeCell ref="A54:A58"/>
    <mergeCell ref="B54:B58"/>
    <mergeCell ref="C54:C58"/>
    <mergeCell ref="D54:D58"/>
    <mergeCell ref="A69:A73"/>
    <mergeCell ref="B69:B73"/>
    <mergeCell ref="C69:C73"/>
    <mergeCell ref="D69:D73"/>
    <mergeCell ref="A59:A63"/>
    <mergeCell ref="B59:B63"/>
    <mergeCell ref="C59:C63"/>
    <mergeCell ref="D59:D63"/>
    <mergeCell ref="A64:A68"/>
    <mergeCell ref="B64:B68"/>
    <mergeCell ref="C64:C68"/>
    <mergeCell ref="D64:D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rightToLeft="1" tabSelected="1" zoomScale="80" zoomScaleNormal="80" workbookViewId="0">
      <selection activeCell="B13" sqref="B13"/>
    </sheetView>
  </sheetViews>
  <sheetFormatPr defaultColWidth="9" defaultRowHeight="18.75"/>
  <cols>
    <col min="1" max="1" width="51.625" style="148" customWidth="1"/>
    <col min="2" max="2" width="16.625" style="153" customWidth="1"/>
    <col min="3" max="3" width="16.625" style="148" customWidth="1"/>
    <col min="4" max="5" width="16.625" style="153" customWidth="1"/>
    <col min="6" max="8" width="16.625" style="148" customWidth="1"/>
    <col min="9" max="9" width="20.25" style="148" customWidth="1"/>
    <col min="10" max="16384" width="9" style="148"/>
  </cols>
  <sheetData>
    <row r="1" spans="1:9" ht="26.25">
      <c r="A1" s="359" t="s">
        <v>421</v>
      </c>
      <c r="B1" s="359"/>
      <c r="C1" s="359"/>
      <c r="D1" s="359"/>
      <c r="E1" s="359"/>
      <c r="F1" s="359"/>
      <c r="G1" s="359"/>
      <c r="H1" s="359"/>
    </row>
    <row r="2" spans="1:9" ht="26.25">
      <c r="A2" s="290"/>
      <c r="B2" s="290"/>
      <c r="C2" s="290"/>
      <c r="D2" s="290"/>
      <c r="E2" s="290"/>
      <c r="F2" s="290"/>
    </row>
    <row r="3" spans="1:9">
      <c r="C3" s="151"/>
      <c r="G3" s="184"/>
      <c r="H3" s="182"/>
    </row>
    <row r="4" spans="1:9" ht="33.950000000000003" customHeight="1">
      <c r="B4" s="312" t="s">
        <v>406</v>
      </c>
      <c r="C4" s="312" t="s">
        <v>36</v>
      </c>
      <c r="D4" s="312" t="s">
        <v>407</v>
      </c>
      <c r="E4" s="312" t="s">
        <v>317</v>
      </c>
      <c r="F4" s="312" t="s">
        <v>408</v>
      </c>
      <c r="G4" s="312" t="s">
        <v>409</v>
      </c>
      <c r="H4" s="312" t="s">
        <v>395</v>
      </c>
      <c r="I4" s="312" t="s">
        <v>33</v>
      </c>
    </row>
    <row r="5" spans="1:9">
      <c r="A5" s="155" t="s">
        <v>410</v>
      </c>
      <c r="B5" s="315">
        <f xml:space="preserve"> 'תקציב מנחם בגין'!D6</f>
        <v>27313.32</v>
      </c>
      <c r="C5" s="315">
        <f xml:space="preserve"> 'תקציב מאמוניה'!D6</f>
        <v>2887</v>
      </c>
      <c r="D5" s="315">
        <f xml:space="preserve"> 'תקציב עטרות'!D6</f>
        <v>536</v>
      </c>
      <c r="E5" s="315">
        <f xml:space="preserve"> 'תקציב חפציבה'!D6</f>
        <v>3865</v>
      </c>
      <c r="F5" s="315">
        <f xml:space="preserve"> 'תקציב ג''נרלי'!D6</f>
        <v>4100</v>
      </c>
      <c r="G5" s="315">
        <f xml:space="preserve"> 'תקציב רשות אוכלוסין'!D6</f>
        <v>2560</v>
      </c>
      <c r="H5" s="315">
        <f xml:space="preserve"> 'תקציב הלל'!D6</f>
        <v>1223</v>
      </c>
      <c r="I5" s="315">
        <f>SUM(B5:H5)</f>
        <v>42484.32</v>
      </c>
    </row>
    <row r="6" spans="1:9">
      <c r="A6" s="157"/>
      <c r="B6" s="291"/>
      <c r="C6" s="291"/>
      <c r="D6" s="291"/>
      <c r="E6" s="302"/>
      <c r="F6" s="313"/>
      <c r="G6" s="314"/>
      <c r="H6" s="151"/>
      <c r="I6" s="151"/>
    </row>
    <row r="7" spans="1:9">
      <c r="A7" s="155" t="s">
        <v>411</v>
      </c>
      <c r="B7" s="162">
        <f xml:space="preserve"> 'תקציב חודשי - דוח מנהלים'!B7 * 12</f>
        <v>3056712.4605978415</v>
      </c>
      <c r="C7" s="162">
        <f xml:space="preserve"> 'תקציב חודשי - דוח מנהלים'!C7 * 12</f>
        <v>572835.85846583673</v>
      </c>
      <c r="D7" s="162">
        <f xml:space="preserve"> 'תקציב חודשי - דוח מנהלים'!D7 * 12</f>
        <v>73207.400416390214</v>
      </c>
      <c r="E7" s="162">
        <f xml:space="preserve"> 'תקציב חודשי - דוח מנהלים'!E7 * 12</f>
        <v>949347.37748560496</v>
      </c>
      <c r="F7" s="162">
        <f xml:space="preserve"> 'תקציב חודשי - דוח מנהלים'!F7 * 12</f>
        <v>815694.8095161065</v>
      </c>
      <c r="G7" s="162">
        <f xml:space="preserve"> 'תקציב חודשי - דוח מנהלים'!G7 * 12</f>
        <v>487453.17187970522</v>
      </c>
      <c r="H7" s="162">
        <f xml:space="preserve"> 'תקציב חודשי - דוח מנהלים'!H7 * 12</f>
        <v>110800.82595845641</v>
      </c>
      <c r="I7" s="162">
        <f xml:space="preserve"> 'תקציב חודשי - דוח מנהלים'!I7 * 12</f>
        <v>6066051.904319942</v>
      </c>
    </row>
    <row r="8" spans="1:9">
      <c r="A8" s="155" t="s">
        <v>412</v>
      </c>
      <c r="B8" s="162">
        <f xml:space="preserve"> 'תקציב חודשי - דוח מנהלים'!B8 * 12</f>
        <v>4044336.8574416498</v>
      </c>
      <c r="C8" s="162">
        <f xml:space="preserve"> 'תקציב חודשי - דוח מנהלים'!C8 * 12</f>
        <v>770516.01137253246</v>
      </c>
      <c r="D8" s="162">
        <f xml:space="preserve"> 'תקציב חודשי - דוח מנהלים'!D8 * 12</f>
        <v>153799.93826593942</v>
      </c>
      <c r="E8" s="162">
        <f xml:space="preserve"> 'תקציב חודשי - דוח מנהלים'!E8 * 12</f>
        <v>331452.63676704653</v>
      </c>
      <c r="F8" s="162">
        <f xml:space="preserve"> 'תקציב חודשי - דוח מנהלים'!F8 * 12</f>
        <v>574057.71798151336</v>
      </c>
      <c r="G8" s="162">
        <f xml:space="preserve"> 'תקציב חודשי - דוח מנהלים'!G8 * 12</f>
        <v>225672.31582563056</v>
      </c>
      <c r="H8" s="162">
        <f xml:space="preserve"> 'תקציב חודשי - דוח מנהלים'!H8 * 12</f>
        <v>138691.17404154359</v>
      </c>
      <c r="I8" s="162">
        <f xml:space="preserve"> 'תקציב חודשי - דוח מנהלים'!I8 * 12</f>
        <v>6238526.651695855</v>
      </c>
    </row>
    <row r="9" spans="1:9">
      <c r="A9" s="155" t="s">
        <v>414</v>
      </c>
      <c r="B9" s="162">
        <f xml:space="preserve"> 'תקציב חודשי - דוח מנהלים'!B9 * 12</f>
        <v>6215252.5208000001</v>
      </c>
      <c r="C9" s="162">
        <f xml:space="preserve"> 'תקציב חודשי - דוח מנהלים'!C9 * 12</f>
        <v>0</v>
      </c>
      <c r="D9" s="162">
        <f xml:space="preserve"> 'תקציב חודשי - דוח מנהלים'!D9 * 12</f>
        <v>0</v>
      </c>
      <c r="E9" s="162">
        <f xml:space="preserve"> 'תקציב חודשי - דוח מנהלים'!E9 * 12</f>
        <v>594603.00108117133</v>
      </c>
      <c r="F9" s="162">
        <f xml:space="preserve"> 'תקציב חודשי - דוח מנהלים'!F9 * 12</f>
        <v>0</v>
      </c>
      <c r="G9" s="162">
        <f xml:space="preserve"> 'תקציב חודשי - דוח מנהלים'!G9 * 12</f>
        <v>0</v>
      </c>
      <c r="H9" s="162">
        <f xml:space="preserve"> 'תקציב חודשי - דוח מנהלים'!H9 * 12</f>
        <v>0</v>
      </c>
      <c r="I9" s="162">
        <f xml:space="preserve"> 'תקציב חודשי - דוח מנהלים'!I9 * 12</f>
        <v>6809855.5218811724</v>
      </c>
    </row>
    <row r="10" spans="1:9">
      <c r="A10" s="155" t="s">
        <v>413</v>
      </c>
      <c r="B10" s="162">
        <f xml:space="preserve"> 'תקציב חודשי - דוח מנהלים'!B10 * 12</f>
        <v>105406.08</v>
      </c>
      <c r="C10" s="162">
        <f xml:space="preserve"> 'תקציב חודשי - דוח מנהלים'!C10 * 12</f>
        <v>0</v>
      </c>
      <c r="D10" s="162">
        <f xml:space="preserve"> 'תקציב חודשי - דוח מנהלים'!D10 * 12</f>
        <v>0</v>
      </c>
      <c r="E10" s="162">
        <f xml:space="preserve"> 'תקציב חודשי - דוח מנהלים'!E10 * 12</f>
        <v>0</v>
      </c>
      <c r="F10" s="162">
        <f xml:space="preserve"> 'תקציב חודשי - דוח מנהלים'!F10 * 12</f>
        <v>0</v>
      </c>
      <c r="G10" s="162">
        <f xml:space="preserve"> 'תקציב חודשי - דוח מנהלים'!G10 * 12</f>
        <v>0</v>
      </c>
      <c r="H10" s="162">
        <f xml:space="preserve"> 'תקציב חודשי - דוח מנהלים'!H10 * 12</f>
        <v>0</v>
      </c>
      <c r="I10" s="162">
        <f xml:space="preserve"> 'תקציב חודשי - דוח מנהלים'!I10 * 12</f>
        <v>105406.08</v>
      </c>
    </row>
    <row r="11" spans="1:9">
      <c r="A11" s="155" t="s">
        <v>350</v>
      </c>
      <c r="B11" s="162">
        <f xml:space="preserve"> 'תקציב חודשי - דוח מנהלים'!B11 * 12</f>
        <v>558922.28161820804</v>
      </c>
      <c r="C11" s="162">
        <f xml:space="preserve"> 'תקציב חודשי - דוח מנהלים'!C11 * 12</f>
        <v>59077.718381791979</v>
      </c>
      <c r="D11" s="162">
        <f xml:space="preserve"> 'תקציב חודשי - דוח מנהלים'!D11 * 12</f>
        <v>10720</v>
      </c>
      <c r="E11" s="162">
        <f xml:space="preserve"> 'תקציב חודשי - דוח מנהלים'!E11 * 12</f>
        <v>77300</v>
      </c>
      <c r="F11" s="162">
        <f xml:space="preserve"> 'תקציב חודשי - דוח מנהלים'!F11 * 12</f>
        <v>82000</v>
      </c>
      <c r="G11" s="162">
        <f xml:space="preserve"> 'תקציב חודשי - דוח מנהלים'!G11 * 12</f>
        <v>60000</v>
      </c>
      <c r="H11" s="162">
        <v>2500</v>
      </c>
      <c r="I11" s="162">
        <f xml:space="preserve"> 'תקציב חודשי - דוח מנהלים'!I11 * 12</f>
        <v>878020</v>
      </c>
    </row>
    <row r="12" spans="1:9">
      <c r="A12" s="155" t="s">
        <v>424</v>
      </c>
      <c r="B12" s="162">
        <f>SUM(B7:B11) * 0.03</f>
        <v>419418.90601373097</v>
      </c>
      <c r="C12" s="162">
        <f t="shared" ref="C12:I12" si="0">SUM(C7:C11) * 0.03</f>
        <v>42072.887646604831</v>
      </c>
      <c r="D12" s="162">
        <f t="shared" si="0"/>
        <v>7131.8201604698888</v>
      </c>
      <c r="E12" s="162">
        <f t="shared" si="0"/>
        <v>58581.090460014682</v>
      </c>
      <c r="F12" s="162">
        <f t="shared" si="0"/>
        <v>44152.575824928594</v>
      </c>
      <c r="G12" s="162">
        <f t="shared" si="0"/>
        <v>23193.764631160069</v>
      </c>
      <c r="H12" s="162">
        <f t="shared" si="0"/>
        <v>7559.7599999999993</v>
      </c>
      <c r="I12" s="162">
        <f t="shared" si="0"/>
        <v>602935.80473690899</v>
      </c>
    </row>
    <row r="13" spans="1:9">
      <c r="A13" s="316" t="s">
        <v>417</v>
      </c>
      <c r="B13" s="300">
        <f>SUM(B7:B12)</f>
        <v>14400049.106471431</v>
      </c>
      <c r="C13" s="300">
        <f t="shared" ref="C13:H13" si="1">SUM(C7:C12)</f>
        <v>1444502.4758667659</v>
      </c>
      <c r="D13" s="300">
        <f t="shared" si="1"/>
        <v>244859.15884279952</v>
      </c>
      <c r="E13" s="300">
        <f t="shared" si="1"/>
        <v>2011284.1057938377</v>
      </c>
      <c r="F13" s="300">
        <f t="shared" si="1"/>
        <v>1515905.1033225486</v>
      </c>
      <c r="G13" s="300">
        <f t="shared" si="1"/>
        <v>796319.25233649579</v>
      </c>
      <c r="H13" s="300">
        <f t="shared" si="1"/>
        <v>259551.76</v>
      </c>
      <c r="I13" s="300">
        <f t="shared" ref="I13" si="2">SUM(B13:H13)</f>
        <v>20672470.962633878</v>
      </c>
    </row>
    <row r="14" spans="1:9">
      <c r="A14" s="157"/>
      <c r="B14" s="291"/>
      <c r="C14" s="291"/>
      <c r="D14" s="291"/>
      <c r="E14" s="302"/>
      <c r="F14" s="313"/>
      <c r="G14" s="314"/>
      <c r="H14" s="151"/>
      <c r="I14" s="151"/>
    </row>
    <row r="15" spans="1:9">
      <c r="A15" s="303" t="s">
        <v>279</v>
      </c>
      <c r="B15" s="162">
        <f xml:space="preserve"> 'תקציב חודשי - דוח מנהלים'!B14 * 12</f>
        <v>1860000</v>
      </c>
      <c r="C15" s="162">
        <f xml:space="preserve"> 'תקציב חודשי - דוח מנהלים'!C14 * 12</f>
        <v>600000</v>
      </c>
      <c r="D15" s="162">
        <f xml:space="preserve"> 'תקציב חודשי - דוח מנהלים'!D14 * 12</f>
        <v>0</v>
      </c>
      <c r="E15" s="162">
        <f xml:space="preserve"> 'תקציב חודשי - דוח מנהלים'!E14 * 12</f>
        <v>60000</v>
      </c>
      <c r="F15" s="162">
        <f xml:space="preserve"> 'תקציב חודשי - דוח מנהלים'!F14 * 12</f>
        <v>0</v>
      </c>
      <c r="G15" s="162">
        <f xml:space="preserve"> 'תקציב חודשי - דוח מנהלים'!G14 * 12</f>
        <v>0</v>
      </c>
      <c r="H15" s="162">
        <f xml:space="preserve"> 'תקציב חודשי - דוח מנהלים'!H14 * 12</f>
        <v>0</v>
      </c>
      <c r="I15" s="162">
        <f xml:space="preserve"> 'תקציב חודשי - דוח מנהלים'!I14 * 12</f>
        <v>2520000</v>
      </c>
    </row>
    <row r="16" spans="1:9">
      <c r="A16" s="303" t="s">
        <v>280</v>
      </c>
      <c r="B16" s="162">
        <f xml:space="preserve"> 'תקציב חודשי - דוח מנהלים'!B15 * 12</f>
        <v>300000</v>
      </c>
      <c r="C16" s="162">
        <f xml:space="preserve"> 'תקציב חודשי - דוח מנהלים'!C15 * 12</f>
        <v>120000</v>
      </c>
      <c r="D16" s="162">
        <f xml:space="preserve"> 'תקציב חודשי - דוח מנהלים'!D15 * 12</f>
        <v>0</v>
      </c>
      <c r="E16" s="162">
        <f xml:space="preserve"> 'תקציב חודשי - דוח מנהלים'!E15 * 12</f>
        <v>78000</v>
      </c>
      <c r="F16" s="162">
        <f xml:space="preserve"> 'תקציב חודשי - דוח מנהלים'!F15 * 12</f>
        <v>0</v>
      </c>
      <c r="G16" s="162">
        <f xml:space="preserve"> 'תקציב חודשי - דוח מנהלים'!G15 * 12</f>
        <v>0</v>
      </c>
      <c r="H16" s="162">
        <f xml:space="preserve"> 'תקציב חודשי - דוח מנהלים'!H15 * 12</f>
        <v>0</v>
      </c>
      <c r="I16" s="162">
        <f xml:space="preserve"> 'תקציב חודשי - דוח מנהלים'!I15 * 12</f>
        <v>498000</v>
      </c>
    </row>
    <row r="17" spans="1:9">
      <c r="A17" s="304" t="s">
        <v>416</v>
      </c>
      <c r="B17" s="162">
        <f xml:space="preserve"> 'תקציב חודשי - דוח מנהלים'!B16 * 12</f>
        <v>75600.000000000015</v>
      </c>
      <c r="C17" s="162">
        <f xml:space="preserve"> 'תקציב חודשי - דוח מנהלים'!C16 * 12</f>
        <v>25200.000000000007</v>
      </c>
      <c r="D17" s="162">
        <f xml:space="preserve"> 'תקציב חודשי - דוח מנהלים'!D16 * 12</f>
        <v>0</v>
      </c>
      <c r="E17" s="162">
        <f xml:space="preserve"> 'תקציב חודשי - דוח מנהלים'!E16 * 12</f>
        <v>4830.0000000000009</v>
      </c>
      <c r="F17" s="162">
        <f xml:space="preserve"> 'תקציב חודשי - דוח מנהלים'!F16 * 12</f>
        <v>0</v>
      </c>
      <c r="G17" s="162">
        <f xml:space="preserve"> 'תקציב חודשי - דוח מנהלים'!G16 * 12</f>
        <v>0</v>
      </c>
      <c r="H17" s="162">
        <f xml:space="preserve"> 'תקציב חודשי - דוח מנהלים'!H16 * 12</f>
        <v>0</v>
      </c>
      <c r="I17" s="162">
        <f xml:space="preserve"> 'תקציב חודשי - דוח מנהלים'!I16 * 12</f>
        <v>105630.00000000003</v>
      </c>
    </row>
    <row r="18" spans="1:9">
      <c r="A18" s="316" t="s">
        <v>418</v>
      </c>
      <c r="B18" s="300">
        <f>SUM(B15:B17)</f>
        <v>2235600</v>
      </c>
      <c r="C18" s="300">
        <f t="shared" ref="C18:H18" si="3">SUM(C15:C17)</f>
        <v>745200</v>
      </c>
      <c r="D18" s="300">
        <f t="shared" si="3"/>
        <v>0</v>
      </c>
      <c r="E18" s="300">
        <f t="shared" si="3"/>
        <v>142830</v>
      </c>
      <c r="F18" s="300">
        <f t="shared" si="3"/>
        <v>0</v>
      </c>
      <c r="G18" s="300">
        <f t="shared" si="3"/>
        <v>0</v>
      </c>
      <c r="H18" s="300">
        <f t="shared" si="3"/>
        <v>0</v>
      </c>
      <c r="I18" s="300">
        <f t="shared" ref="I18" si="4">SUM(B18:H18)</f>
        <v>3123630</v>
      </c>
    </row>
    <row r="19" spans="1:9">
      <c r="A19" s="157"/>
      <c r="B19" s="291"/>
      <c r="C19" s="291"/>
      <c r="D19" s="291"/>
      <c r="E19" s="302"/>
      <c r="F19" s="313"/>
      <c r="G19" s="314"/>
      <c r="H19" s="151"/>
      <c r="I19" s="151"/>
    </row>
    <row r="20" spans="1:9">
      <c r="A20" s="316" t="s">
        <v>419</v>
      </c>
      <c r="B20" s="300">
        <f xml:space="preserve"> 'תקציב חודשי - דוח מנהלים'!B19 * 12</f>
        <v>3933118.0799999996</v>
      </c>
      <c r="C20" s="300">
        <f xml:space="preserve"> 'תקציב חודשי - דוח מנהלים'!C19 * 12</f>
        <v>415728</v>
      </c>
      <c r="D20" s="300">
        <f xml:space="preserve"> 'תקציב חודשי - דוח מנהלים'!D19 * 12</f>
        <v>77184</v>
      </c>
      <c r="E20" s="300">
        <f xml:space="preserve"> 'תקציב חודשי - דוח מנהלים'!E19 * 12</f>
        <v>556560</v>
      </c>
      <c r="F20" s="300">
        <f xml:space="preserve"> 'תקציב חודשי - דוח מנהלים'!F19 * 12</f>
        <v>590400</v>
      </c>
      <c r="G20" s="300">
        <f xml:space="preserve"> 'תקציב חודשי - דוח מנהלים'!G19 * 12</f>
        <v>368640</v>
      </c>
      <c r="H20" s="300">
        <f xml:space="preserve"> 'תקציב חודשי - דוח מנהלים'!H19 * 12</f>
        <v>176112</v>
      </c>
      <c r="I20" s="300">
        <f>SUM(B20:H20)</f>
        <v>6117742.0800000001</v>
      </c>
    </row>
    <row r="21" spans="1:9">
      <c r="B21" s="148"/>
      <c r="D21" s="148"/>
      <c r="E21" s="148"/>
    </row>
    <row r="22" spans="1:9">
      <c r="A22" s="317" t="s">
        <v>423</v>
      </c>
      <c r="B22" s="318">
        <f xml:space="preserve"> B13 + B18 + B20</f>
        <v>20568767.186471429</v>
      </c>
      <c r="C22" s="318">
        <f t="shared" ref="C22:H22" si="5" xml:space="preserve"> C13 + C18 + C20</f>
        <v>2605430.4758667657</v>
      </c>
      <c r="D22" s="318">
        <f t="shared" si="5"/>
        <v>322043.15884279949</v>
      </c>
      <c r="E22" s="318">
        <f t="shared" si="5"/>
        <v>2710674.1057938375</v>
      </c>
      <c r="F22" s="318">
        <f t="shared" si="5"/>
        <v>2106305.1033225488</v>
      </c>
      <c r="G22" s="318">
        <f t="shared" si="5"/>
        <v>1164959.2523364958</v>
      </c>
      <c r="H22" s="318">
        <f t="shared" si="5"/>
        <v>435663.76</v>
      </c>
      <c r="I22" s="318">
        <f>SUM(B22:H22)</f>
        <v>29913843.042633872</v>
      </c>
    </row>
    <row r="23" spans="1:9">
      <c r="A23" s="317" t="s">
        <v>420</v>
      </c>
      <c r="B23" s="318">
        <f xml:space="preserve"> B22 * 1.17</f>
        <v>24065457.608171571</v>
      </c>
      <c r="C23" s="318">
        <f t="shared" ref="C23:I23" si="6" xml:space="preserve"> C22 * 1.17</f>
        <v>3048353.6567641157</v>
      </c>
      <c r="D23" s="318">
        <f t="shared" si="6"/>
        <v>376790.49584607536</v>
      </c>
      <c r="E23" s="318">
        <f t="shared" si="6"/>
        <v>3171488.7037787898</v>
      </c>
      <c r="F23" s="318">
        <f t="shared" si="6"/>
        <v>2464376.970887382</v>
      </c>
      <c r="G23" s="318">
        <f t="shared" si="6"/>
        <v>1363002.3252337</v>
      </c>
      <c r="H23" s="318">
        <f t="shared" si="6"/>
        <v>509726.5992</v>
      </c>
      <c r="I23" s="318">
        <f t="shared" si="6"/>
        <v>34999196.359881632</v>
      </c>
    </row>
    <row r="24" spans="1:9">
      <c r="A24" s="294"/>
      <c r="B24" s="298"/>
      <c r="C24" s="298"/>
      <c r="D24" s="298"/>
    </row>
    <row r="25" spans="1:9">
      <c r="A25" s="294"/>
      <c r="B25" s="298"/>
      <c r="C25" s="298"/>
      <c r="D25" s="298"/>
      <c r="G25" s="151"/>
    </row>
    <row r="26" spans="1:9">
      <c r="A26" s="294"/>
      <c r="B26" s="298"/>
      <c r="C26" s="298"/>
      <c r="D26" s="298"/>
      <c r="G26" s="151"/>
    </row>
    <row r="27" spans="1:9">
      <c r="A27" s="294"/>
      <c r="B27" s="298"/>
      <c r="C27" s="298"/>
      <c r="D27" s="298"/>
      <c r="G27" s="174"/>
    </row>
    <row r="28" spans="1:9">
      <c r="A28" s="294"/>
      <c r="B28" s="298"/>
      <c r="C28" s="298"/>
      <c r="D28" s="298"/>
      <c r="G28" s="151"/>
    </row>
    <row r="29" spans="1:9">
      <c r="A29" s="294"/>
      <c r="B29" s="298"/>
      <c r="C29" s="298"/>
      <c r="D29" s="298"/>
    </row>
    <row r="30" spans="1:9">
      <c r="A30" s="294"/>
      <c r="B30" s="298"/>
      <c r="C30" s="298"/>
      <c r="D30" s="298"/>
    </row>
    <row r="31" spans="1:9">
      <c r="A31" s="294"/>
      <c r="B31" s="297"/>
      <c r="C31" s="294"/>
      <c r="D31" s="297"/>
    </row>
    <row r="37" spans="1:9" s="153" customFormat="1" ht="19.5" thickBot="1">
      <c r="A37" s="148"/>
      <c r="C37" s="148"/>
      <c r="F37" s="148"/>
      <c r="G37" s="148"/>
      <c r="H37" s="148"/>
      <c r="I37" s="148"/>
    </row>
    <row r="38" spans="1:9" s="153" customFormat="1">
      <c r="A38" s="353"/>
      <c r="B38" s="353"/>
      <c r="C38" s="353"/>
      <c r="D38" s="354"/>
      <c r="F38" s="148"/>
      <c r="G38" s="148"/>
      <c r="H38" s="148"/>
      <c r="I38" s="148"/>
    </row>
    <row r="39" spans="1:9" s="153" customFormat="1">
      <c r="A39" s="355"/>
      <c r="B39" s="355"/>
      <c r="C39" s="355"/>
      <c r="D39" s="356"/>
      <c r="F39" s="148"/>
      <c r="G39" s="148"/>
      <c r="H39" s="148"/>
      <c r="I39" s="148"/>
    </row>
    <row r="40" spans="1:9" s="153" customFormat="1" ht="19.5" thickBot="1">
      <c r="A40" s="357"/>
      <c r="B40" s="357"/>
      <c r="C40" s="357"/>
      <c r="D40" s="358"/>
      <c r="F40" s="148"/>
      <c r="G40" s="148"/>
      <c r="H40" s="148"/>
      <c r="I40" s="148"/>
    </row>
    <row r="42" spans="1:9" s="153" customFormat="1">
      <c r="A42" s="152" t="s">
        <v>371</v>
      </c>
      <c r="C42" s="148"/>
      <c r="F42" s="148"/>
      <c r="G42" s="148"/>
      <c r="H42" s="148"/>
      <c r="I42" s="148"/>
    </row>
    <row r="43" spans="1:9" s="153" customFormat="1">
      <c r="A43" s="152" t="s">
        <v>372</v>
      </c>
      <c r="C43" s="148"/>
      <c r="F43" s="148"/>
      <c r="G43" s="148"/>
      <c r="H43" s="148"/>
      <c r="I43" s="148"/>
    </row>
    <row r="44" spans="1:9" s="153" customFormat="1">
      <c r="A44" s="152" t="s">
        <v>373</v>
      </c>
      <c r="C44" s="148"/>
      <c r="F44" s="148"/>
      <c r="G44" s="148"/>
      <c r="H44" s="148"/>
      <c r="I44" s="148"/>
    </row>
    <row r="45" spans="1:9" s="153" customFormat="1">
      <c r="A45" s="152" t="s">
        <v>389</v>
      </c>
      <c r="C45" s="148"/>
      <c r="F45" s="148"/>
      <c r="G45" s="148"/>
      <c r="H45" s="148"/>
      <c r="I45" s="148"/>
    </row>
    <row r="46" spans="1:9" s="153" customFormat="1">
      <c r="A46" s="152" t="s">
        <v>388</v>
      </c>
      <c r="C46" s="148"/>
      <c r="F46" s="148"/>
      <c r="G46" s="148"/>
      <c r="H46" s="148"/>
      <c r="I46" s="148"/>
    </row>
  </sheetData>
  <mergeCells count="2">
    <mergeCell ref="A38:D40"/>
    <mergeCell ref="A1:H1"/>
  </mergeCells>
  <pageMargins left="0.70866141732283505" right="0.70866141732283505" top="0.74803149606299202" bottom="0.74803149606299202" header="0.31496062992126" footer="0.31496062992126"/>
  <pageSetup paperSize="9" scale="5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P94"/>
  <sheetViews>
    <sheetView rightToLeft="1" view="pageBreakPreview" zoomScale="80" zoomScaleNormal="100" zoomScaleSheetLayoutView="80" workbookViewId="0">
      <selection activeCell="N17" sqref="N17"/>
    </sheetView>
  </sheetViews>
  <sheetFormatPr defaultRowHeight="14.25"/>
  <cols>
    <col min="1" max="1" width="19.375" customWidth="1"/>
    <col min="2" max="2" width="16.375" customWidth="1"/>
    <col min="3" max="5" width="14.87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1" width="14.125" style="2" customWidth="1"/>
    <col min="12" max="13" width="15.375" style="2" customWidth="1"/>
    <col min="14" max="14" width="17.375" style="2" customWidth="1"/>
    <col min="15" max="15" width="15.875" style="122" customWidth="1"/>
  </cols>
  <sheetData>
    <row r="1" spans="1:15">
      <c r="L1" s="2">
        <f>1.0528</f>
        <v>1.0528</v>
      </c>
    </row>
    <row r="2" spans="1:15" ht="29.25" customHeight="1" thickBot="1">
      <c r="A2" s="346" t="s">
        <v>224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</row>
    <row r="3" spans="1:15" ht="15" customHeight="1" thickTop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"/>
      <c r="N3" s="18"/>
      <c r="O3" s="123"/>
    </row>
    <row r="4" spans="1:15" ht="75">
      <c r="A4" s="6"/>
      <c r="B4" s="7" t="s">
        <v>14</v>
      </c>
      <c r="C4" s="7"/>
      <c r="D4" s="7"/>
      <c r="E4" s="7"/>
      <c r="F4" s="8" t="s">
        <v>11</v>
      </c>
      <c r="G4" s="8" t="s">
        <v>28</v>
      </c>
      <c r="H4" s="8" t="s">
        <v>22</v>
      </c>
      <c r="I4" s="8" t="s">
        <v>25</v>
      </c>
      <c r="J4" s="8" t="s">
        <v>19</v>
      </c>
      <c r="K4" s="8" t="s">
        <v>63</v>
      </c>
      <c r="L4" s="8" t="s">
        <v>23</v>
      </c>
      <c r="M4" s="8" t="s">
        <v>24</v>
      </c>
      <c r="N4" s="32" t="s">
        <v>31</v>
      </c>
      <c r="O4" s="124" t="s">
        <v>34</v>
      </c>
    </row>
    <row r="5" spans="1:15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2" t="s">
        <v>18</v>
      </c>
      <c r="H5" s="12" t="s">
        <v>15</v>
      </c>
      <c r="I5" s="12" t="s">
        <v>17</v>
      </c>
      <c r="J5" s="12" t="s">
        <v>18</v>
      </c>
      <c r="K5" s="12" t="s">
        <v>17</v>
      </c>
      <c r="L5" s="11" t="s">
        <v>13</v>
      </c>
      <c r="M5" s="11" t="s">
        <v>13</v>
      </c>
      <c r="N5" s="33" t="s">
        <v>30</v>
      </c>
      <c r="O5" s="125"/>
    </row>
    <row r="6" spans="1:15">
      <c r="A6" s="347" t="s">
        <v>70</v>
      </c>
      <c r="B6" s="322">
        <v>12056.32</v>
      </c>
      <c r="C6" s="325">
        <f>B6/$B$43</f>
        <v>0.44140807488800338</v>
      </c>
      <c r="D6" s="350">
        <v>7396</v>
      </c>
      <c r="E6" s="84" t="s">
        <v>69</v>
      </c>
      <c r="F6" s="85">
        <f xml:space="preserve"> F43 + F69</f>
        <v>0</v>
      </c>
      <c r="G6" s="85">
        <f t="shared" ref="F6:O10" si="0" xml:space="preserve"> G43 + G69</f>
        <v>0</v>
      </c>
      <c r="H6" s="85">
        <f t="shared" si="0"/>
        <v>0</v>
      </c>
      <c r="I6" s="85">
        <f t="shared" si="0"/>
        <v>0</v>
      </c>
      <c r="J6" s="85">
        <f t="shared" si="0"/>
        <v>0</v>
      </c>
      <c r="K6" s="85">
        <f t="shared" si="0"/>
        <v>0</v>
      </c>
      <c r="L6" s="85">
        <f t="shared" si="0"/>
        <v>51500</v>
      </c>
      <c r="M6" s="85">
        <f t="shared" si="0"/>
        <v>17676.75</v>
      </c>
      <c r="N6" s="85">
        <f t="shared" si="0"/>
        <v>8783.84</v>
      </c>
      <c r="O6" s="126">
        <f t="shared" si="0"/>
        <v>77960.59</v>
      </c>
    </row>
    <row r="7" spans="1:15">
      <c r="A7" s="348"/>
      <c r="B7" s="323"/>
      <c r="C7" s="326"/>
      <c r="D7" s="351"/>
      <c r="E7" s="84" t="s">
        <v>66</v>
      </c>
      <c r="F7" s="86">
        <f xml:space="preserve"> F44 + F70</f>
        <v>0</v>
      </c>
      <c r="G7" s="86">
        <f t="shared" si="0"/>
        <v>12640.279999999999</v>
      </c>
      <c r="H7" s="86">
        <f t="shared" si="0"/>
        <v>211329.68124999999</v>
      </c>
      <c r="I7" s="86">
        <f t="shared" si="0"/>
        <v>47796.058749999997</v>
      </c>
      <c r="J7" s="86">
        <f t="shared" si="0"/>
        <v>0</v>
      </c>
      <c r="K7" s="86">
        <f t="shared" si="0"/>
        <v>0</v>
      </c>
      <c r="L7" s="86">
        <f t="shared" si="0"/>
        <v>0</v>
      </c>
      <c r="M7" s="86">
        <f t="shared" si="0"/>
        <v>0</v>
      </c>
      <c r="N7" s="86">
        <f t="shared" si="0"/>
        <v>0</v>
      </c>
      <c r="O7" s="126">
        <f t="shared" si="0"/>
        <v>271766.02</v>
      </c>
    </row>
    <row r="8" spans="1:15">
      <c r="A8" s="348"/>
      <c r="B8" s="323"/>
      <c r="C8" s="326"/>
      <c r="D8" s="351"/>
      <c r="E8" s="84" t="s">
        <v>67</v>
      </c>
      <c r="F8" s="86">
        <f xml:space="preserve"> F45 + F71</f>
        <v>31487.547932525955</v>
      </c>
      <c r="G8" s="86">
        <f t="shared" si="0"/>
        <v>49879.366764897342</v>
      </c>
      <c r="H8" s="86">
        <f t="shared" si="0"/>
        <v>16555.643848723623</v>
      </c>
      <c r="I8" s="86">
        <f t="shared" si="0"/>
        <v>10253.034903856549</v>
      </c>
      <c r="J8" s="86">
        <f t="shared" si="0"/>
        <v>4470.2630060553629</v>
      </c>
      <c r="K8" s="86">
        <f t="shared" si="0"/>
        <v>3436.4346813725488</v>
      </c>
      <c r="L8" s="86">
        <f t="shared" si="0"/>
        <v>0</v>
      </c>
      <c r="M8" s="86">
        <f t="shared" si="0"/>
        <v>0</v>
      </c>
      <c r="N8" s="86">
        <f t="shared" si="0"/>
        <v>0</v>
      </c>
      <c r="O8" s="126">
        <f t="shared" si="0"/>
        <v>116082.29113743138</v>
      </c>
    </row>
    <row r="9" spans="1:15">
      <c r="A9" s="348"/>
      <c r="B9" s="323"/>
      <c r="C9" s="326"/>
      <c r="D9" s="351"/>
      <c r="E9" s="84" t="s">
        <v>68</v>
      </c>
      <c r="F9" s="86">
        <f t="shared" si="0"/>
        <v>58476.874731833923</v>
      </c>
      <c r="G9" s="86">
        <f t="shared" si="0"/>
        <v>92633.109706237927</v>
      </c>
      <c r="H9" s="86">
        <f t="shared" si="0"/>
        <v>30746.19571905816</v>
      </c>
      <c r="I9" s="86">
        <f t="shared" si="0"/>
        <v>19041.350535733596</v>
      </c>
      <c r="J9" s="86">
        <f t="shared" si="0"/>
        <v>8301.9170112456759</v>
      </c>
      <c r="K9" s="86">
        <f t="shared" si="0"/>
        <v>6381.9501225490194</v>
      </c>
      <c r="L9" s="86">
        <f t="shared" si="0"/>
        <v>0</v>
      </c>
      <c r="M9" s="86">
        <f t="shared" si="0"/>
        <v>0</v>
      </c>
      <c r="N9" s="86">
        <f t="shared" si="0"/>
        <v>0</v>
      </c>
      <c r="O9" s="126">
        <f t="shared" si="0"/>
        <v>215581.3978266583</v>
      </c>
    </row>
    <row r="10" spans="1:15">
      <c r="A10" s="349"/>
      <c r="B10" s="324"/>
      <c r="C10" s="327"/>
      <c r="D10" s="352"/>
      <c r="E10" s="84" t="s">
        <v>33</v>
      </c>
      <c r="F10" s="86">
        <f t="shared" si="0"/>
        <v>89964.422664359881</v>
      </c>
      <c r="G10" s="86">
        <f t="shared" si="0"/>
        <v>155152.75647113528</v>
      </c>
      <c r="H10" s="86">
        <f t="shared" si="0"/>
        <v>258631.52081778177</v>
      </c>
      <c r="I10" s="86">
        <f t="shared" si="0"/>
        <v>77090.44418959014</v>
      </c>
      <c r="J10" s="86">
        <f t="shared" si="0"/>
        <v>12772.180017301038</v>
      </c>
      <c r="K10" s="86">
        <f t="shared" si="0"/>
        <v>9818.3848039215682</v>
      </c>
      <c r="L10" s="86">
        <f t="shared" si="0"/>
        <v>51500</v>
      </c>
      <c r="M10" s="86">
        <f t="shared" si="0"/>
        <v>17676.75</v>
      </c>
      <c r="N10" s="86">
        <f t="shared" si="0"/>
        <v>8783.84</v>
      </c>
      <c r="O10" s="126">
        <f t="shared" si="0"/>
        <v>681390.29896408971</v>
      </c>
    </row>
    <row r="11" spans="1:15">
      <c r="A11" s="6"/>
      <c r="B11" s="6"/>
      <c r="C11" s="6"/>
      <c r="D11" s="6"/>
      <c r="E11" s="6"/>
      <c r="F11" s="47"/>
      <c r="G11" s="47"/>
      <c r="H11" s="47"/>
      <c r="I11" s="47"/>
      <c r="J11" s="47"/>
      <c r="K11" s="50"/>
      <c r="L11" s="47"/>
      <c r="M11" s="47"/>
      <c r="N11" s="34"/>
      <c r="O11" s="127"/>
    </row>
    <row r="12" spans="1:15" ht="15">
      <c r="A12" s="87" t="s">
        <v>0</v>
      </c>
      <c r="B12" s="88" t="s">
        <v>21</v>
      </c>
      <c r="C12" s="9"/>
      <c r="D12" s="83">
        <v>344</v>
      </c>
      <c r="E12" s="9"/>
      <c r="F12" s="47"/>
      <c r="G12" s="47"/>
      <c r="H12" s="47"/>
      <c r="I12" s="47"/>
      <c r="J12" s="47"/>
      <c r="K12" s="50"/>
      <c r="L12" s="47"/>
      <c r="M12" s="47"/>
      <c r="N12" s="34"/>
      <c r="O12" s="127">
        <f>SUM(F12:K12)</f>
        <v>0</v>
      </c>
    </row>
    <row r="13" spans="1:15">
      <c r="A13" s="331" t="s">
        <v>1</v>
      </c>
      <c r="B13" s="334">
        <v>12056.32</v>
      </c>
      <c r="C13" s="337">
        <f>B13/$B$43</f>
        <v>0.44140807488800338</v>
      </c>
      <c r="D13" s="343">
        <v>2741.25</v>
      </c>
      <c r="E13" s="30" t="s">
        <v>69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20559.400695091972</v>
      </c>
      <c r="M13" s="47">
        <v>6319.1980000966551</v>
      </c>
      <c r="N13" s="47">
        <v>8783.84</v>
      </c>
      <c r="O13" s="127">
        <f t="shared" ref="O13:O16" si="1">SUM(F13:N13)</f>
        <v>35662.438695188626</v>
      </c>
    </row>
    <row r="14" spans="1:15">
      <c r="A14" s="332"/>
      <c r="B14" s="335"/>
      <c r="C14" s="338"/>
      <c r="D14" s="344"/>
      <c r="E14" s="30" t="s">
        <v>66</v>
      </c>
      <c r="F14" s="47">
        <v>0</v>
      </c>
      <c r="G14" s="47">
        <v>5579.5216608453311</v>
      </c>
      <c r="H14" s="47">
        <v>100727.23125</v>
      </c>
      <c r="I14" s="47"/>
      <c r="J14" s="47">
        <v>0</v>
      </c>
      <c r="K14" s="50"/>
      <c r="L14" s="47">
        <v>0</v>
      </c>
      <c r="M14" s="47">
        <v>0</v>
      </c>
      <c r="N14" s="48">
        <v>0</v>
      </c>
      <c r="O14" s="127">
        <f t="shared" si="1"/>
        <v>106306.75291084533</v>
      </c>
    </row>
    <row r="15" spans="1:15">
      <c r="A15" s="332"/>
      <c r="B15" s="335"/>
      <c r="C15" s="338"/>
      <c r="D15" s="344"/>
      <c r="E15" s="30" t="s">
        <v>67</v>
      </c>
      <c r="F15" s="47">
        <v>12570.196404868269</v>
      </c>
      <c r="G15" s="47">
        <v>22017.155260325992</v>
      </c>
      <c r="H15" s="47">
        <v>7405.9617754779447</v>
      </c>
      <c r="I15" s="47">
        <v>0</v>
      </c>
      <c r="J15" s="47">
        <v>1973.210187745957</v>
      </c>
      <c r="K15" s="47">
        <v>0</v>
      </c>
      <c r="L15" s="47">
        <v>0</v>
      </c>
      <c r="M15" s="47">
        <v>0</v>
      </c>
      <c r="N15" s="47">
        <v>0</v>
      </c>
      <c r="O15" s="127">
        <f t="shared" si="1"/>
        <v>43966.523628418166</v>
      </c>
    </row>
    <row r="16" spans="1:15">
      <c r="A16" s="332"/>
      <c r="B16" s="335"/>
      <c r="C16" s="338"/>
      <c r="D16" s="344"/>
      <c r="E16" s="30" t="s">
        <v>68</v>
      </c>
      <c r="F16" s="47">
        <v>23344.650466183932</v>
      </c>
      <c r="G16" s="47">
        <v>40889.002626319707</v>
      </c>
      <c r="H16" s="47">
        <v>13753.929011601898</v>
      </c>
      <c r="I16" s="47">
        <v>0</v>
      </c>
      <c r="J16" s="47">
        <v>3664.5332058139206</v>
      </c>
      <c r="K16" s="47">
        <v>0</v>
      </c>
      <c r="L16" s="47">
        <v>0</v>
      </c>
      <c r="M16" s="47">
        <v>0</v>
      </c>
      <c r="N16" s="47">
        <v>0</v>
      </c>
      <c r="O16" s="127">
        <f t="shared" si="1"/>
        <v>81652.115309919449</v>
      </c>
    </row>
    <row r="17" spans="1:15">
      <c r="A17" s="333"/>
      <c r="B17" s="336"/>
      <c r="C17" s="339"/>
      <c r="D17" s="345"/>
      <c r="E17" s="129" t="s">
        <v>33</v>
      </c>
      <c r="F17" s="130">
        <v>35914.846871052199</v>
      </c>
      <c r="G17" s="130">
        <v>68485.679547491032</v>
      </c>
      <c r="H17" s="130">
        <v>121887.12203707984</v>
      </c>
      <c r="I17" s="130"/>
      <c r="J17" s="130">
        <v>5637.7433935598774</v>
      </c>
      <c r="K17" s="130"/>
      <c r="L17" s="130">
        <v>20559.400695091972</v>
      </c>
      <c r="M17" s="130">
        <v>6319.1980000966551</v>
      </c>
      <c r="N17" s="130">
        <v>8783.84</v>
      </c>
      <c r="O17" s="131">
        <f>SUM(F17:N17)</f>
        <v>267587.83054437162</v>
      </c>
    </row>
    <row r="18" spans="1:15">
      <c r="A18" s="331" t="s">
        <v>2</v>
      </c>
      <c r="B18" s="334">
        <v>3046.36</v>
      </c>
      <c r="C18" s="337">
        <f>B18/$B$43</f>
        <v>0.11153385966993394</v>
      </c>
      <c r="D18" s="340">
        <v>516</v>
      </c>
      <c r="E18" s="30" t="s">
        <v>69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5194.8966103670427</v>
      </c>
      <c r="M18" s="47">
        <v>1645.4687350347747</v>
      </c>
      <c r="N18" s="47">
        <v>0</v>
      </c>
      <c r="O18" s="127">
        <f t="shared" ref="O18:O21" si="2">SUM(F18:N18)</f>
        <v>6840.3653454018176</v>
      </c>
    </row>
    <row r="19" spans="1:15">
      <c r="A19" s="332"/>
      <c r="B19" s="335"/>
      <c r="C19" s="338"/>
      <c r="D19" s="341"/>
      <c r="E19" s="30" t="s">
        <v>66</v>
      </c>
      <c r="F19" s="47">
        <v>0</v>
      </c>
      <c r="G19" s="47">
        <v>1409.8192157086726</v>
      </c>
      <c r="H19" s="47">
        <v>18960.419999999998</v>
      </c>
      <c r="I19" s="47"/>
      <c r="J19" s="47">
        <v>0</v>
      </c>
      <c r="K19" s="50"/>
      <c r="L19" s="47">
        <v>0</v>
      </c>
      <c r="M19" s="47">
        <v>0</v>
      </c>
      <c r="N19" s="48">
        <v>0</v>
      </c>
      <c r="O19" s="127">
        <f t="shared" si="2"/>
        <v>20370.239215708672</v>
      </c>
    </row>
    <row r="20" spans="1:15">
      <c r="A20" s="332"/>
      <c r="B20" s="335"/>
      <c r="C20" s="338"/>
      <c r="D20" s="341"/>
      <c r="E20" s="30" t="s">
        <v>67</v>
      </c>
      <c r="F20" s="47">
        <v>3176.204971329104</v>
      </c>
      <c r="G20" s="47">
        <v>5563.2382931812272</v>
      </c>
      <c r="H20" s="47">
        <v>1783.4193522076137</v>
      </c>
      <c r="I20" s="47">
        <v>0</v>
      </c>
      <c r="J20" s="47">
        <v>498.58568680507591</v>
      </c>
      <c r="K20" s="47">
        <v>0</v>
      </c>
      <c r="L20" s="47">
        <v>0</v>
      </c>
      <c r="M20" s="47">
        <v>0</v>
      </c>
      <c r="N20" s="47">
        <v>0</v>
      </c>
      <c r="O20" s="127">
        <f t="shared" si="2"/>
        <v>11021.448303523021</v>
      </c>
    </row>
    <row r="21" spans="1:15">
      <c r="A21" s="332"/>
      <c r="B21" s="335"/>
      <c r="C21" s="338"/>
      <c r="D21" s="341"/>
      <c r="E21" s="30" t="s">
        <v>68</v>
      </c>
      <c r="F21" s="47">
        <v>5898.6663753254797</v>
      </c>
      <c r="G21" s="47">
        <v>10331.728258765137</v>
      </c>
      <c r="H21" s="47">
        <v>3312.0645112427114</v>
      </c>
      <c r="I21" s="47">
        <v>0</v>
      </c>
      <c r="J21" s="47">
        <v>925.94484692371248</v>
      </c>
      <c r="K21" s="47">
        <v>0</v>
      </c>
      <c r="L21" s="47">
        <v>0</v>
      </c>
      <c r="M21" s="47">
        <v>0</v>
      </c>
      <c r="N21" s="47">
        <v>0</v>
      </c>
      <c r="O21" s="127">
        <f t="shared" si="2"/>
        <v>20468.403992257041</v>
      </c>
    </row>
    <row r="22" spans="1:15">
      <c r="A22" s="333"/>
      <c r="B22" s="336"/>
      <c r="C22" s="339"/>
      <c r="D22" s="342"/>
      <c r="E22" s="129" t="s">
        <v>33</v>
      </c>
      <c r="F22" s="130">
        <v>9074.8713466545832</v>
      </c>
      <c r="G22" s="130">
        <v>17304.785767655037</v>
      </c>
      <c r="H22" s="130">
        <v>24055.903863450323</v>
      </c>
      <c r="I22" s="130"/>
      <c r="J22" s="130">
        <v>1424.5305337287884</v>
      </c>
      <c r="K22" s="130"/>
      <c r="L22" s="130">
        <v>5194.8966103670427</v>
      </c>
      <c r="M22" s="130">
        <v>1645.4687350347747</v>
      </c>
      <c r="N22" s="130">
        <v>0</v>
      </c>
      <c r="O22" s="131">
        <f>SUM(F22:N22)</f>
        <v>58700.456856890545</v>
      </c>
    </row>
    <row r="23" spans="1:15">
      <c r="A23" s="331" t="s">
        <v>3</v>
      </c>
      <c r="B23" s="334">
        <v>6565</v>
      </c>
      <c r="C23" s="337">
        <f>B23/$B$43</f>
        <v>0.24035891645541443</v>
      </c>
      <c r="D23" s="340">
        <v>1816.75</v>
      </c>
      <c r="E23" s="30" t="s">
        <v>69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11195.162832711707</v>
      </c>
      <c r="M23" s="47">
        <v>3440.9782479757137</v>
      </c>
      <c r="N23" s="47">
        <v>0</v>
      </c>
      <c r="O23" s="127">
        <f t="shared" ref="O23:O26" si="3">SUM(F23:N23)</f>
        <v>14636.141080687421</v>
      </c>
    </row>
    <row r="24" spans="1:15">
      <c r="A24" s="332"/>
      <c r="B24" s="335"/>
      <c r="C24" s="338"/>
      <c r="D24" s="341"/>
      <c r="E24" s="30" t="s">
        <v>66</v>
      </c>
      <c r="F24" s="47">
        <v>0</v>
      </c>
      <c r="G24" s="47">
        <v>3038.2040044930459</v>
      </c>
      <c r="H24" s="47">
        <v>66756.478749999995</v>
      </c>
      <c r="I24" s="47"/>
      <c r="J24" s="47">
        <v>0</v>
      </c>
      <c r="K24" s="50"/>
      <c r="L24" s="47">
        <v>0</v>
      </c>
      <c r="M24" s="47">
        <v>0</v>
      </c>
      <c r="N24" s="48">
        <v>0</v>
      </c>
      <c r="O24" s="127">
        <f t="shared" si="3"/>
        <v>69794.682754493042</v>
      </c>
    </row>
    <row r="25" spans="1:15">
      <c r="A25" s="332"/>
      <c r="B25" s="335"/>
      <c r="C25" s="338"/>
      <c r="D25" s="341"/>
      <c r="E25" s="30" t="s">
        <v>67</v>
      </c>
      <c r="F25" s="47">
        <v>6844.8199282998621</v>
      </c>
      <c r="G25" s="47">
        <v>11988.950549092937</v>
      </c>
      <c r="H25" s="47">
        <v>4857.1192040226379</v>
      </c>
      <c r="I25" s="47">
        <v>0</v>
      </c>
      <c r="J25" s="47">
        <v>1074.4675724061908</v>
      </c>
      <c r="K25" s="47">
        <v>0</v>
      </c>
      <c r="L25" s="47">
        <v>0</v>
      </c>
      <c r="M25" s="47">
        <v>0</v>
      </c>
      <c r="N25" s="47">
        <v>0</v>
      </c>
      <c r="O25" s="127">
        <f t="shared" si="3"/>
        <v>24765.357253821625</v>
      </c>
    </row>
    <row r="26" spans="1:15">
      <c r="A26" s="332"/>
      <c r="B26" s="335"/>
      <c r="C26" s="338"/>
      <c r="D26" s="341"/>
      <c r="E26" s="30" t="s">
        <v>68</v>
      </c>
      <c r="F26" s="47">
        <v>12711.808438271173</v>
      </c>
      <c r="G26" s="47">
        <v>22265.193876886886</v>
      </c>
      <c r="H26" s="47">
        <v>9020.3642360420417</v>
      </c>
      <c r="I26" s="47">
        <v>0</v>
      </c>
      <c r="J26" s="47">
        <v>1995.4397773257829</v>
      </c>
      <c r="K26" s="47">
        <v>0</v>
      </c>
      <c r="L26" s="47">
        <v>0</v>
      </c>
      <c r="M26" s="47">
        <v>0</v>
      </c>
      <c r="N26" s="47">
        <v>0</v>
      </c>
      <c r="O26" s="127">
        <f t="shared" si="3"/>
        <v>45992.806328525883</v>
      </c>
    </row>
    <row r="27" spans="1:15">
      <c r="A27" s="333"/>
      <c r="B27" s="336"/>
      <c r="C27" s="339"/>
      <c r="D27" s="342"/>
      <c r="E27" s="129" t="s">
        <v>33</v>
      </c>
      <c r="F27" s="130">
        <v>19556.628366571036</v>
      </c>
      <c r="G27" s="130">
        <v>37292.34843047287</v>
      </c>
      <c r="H27" s="130">
        <v>80633.962190064689</v>
      </c>
      <c r="I27" s="130"/>
      <c r="J27" s="130">
        <v>3069.9073497319737</v>
      </c>
      <c r="K27" s="130"/>
      <c r="L27" s="130">
        <v>11195.162832711707</v>
      </c>
      <c r="M27" s="130">
        <v>3440.9782479757137</v>
      </c>
      <c r="N27" s="130">
        <v>0</v>
      </c>
      <c r="O27" s="131">
        <f>SUM(F27:N27)</f>
        <v>155188.987417528</v>
      </c>
    </row>
    <row r="28" spans="1:15">
      <c r="A28" s="331" t="s">
        <v>4</v>
      </c>
      <c r="B28" s="334">
        <v>4521</v>
      </c>
      <c r="C28" s="337">
        <f>B28/$B$43</f>
        <v>0.16552363462222827</v>
      </c>
      <c r="D28" s="340">
        <v>516</v>
      </c>
      <c r="E28" s="30" t="s">
        <v>69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7709.570627066204</v>
      </c>
      <c r="M28" s="47">
        <v>2369.6363532518199</v>
      </c>
      <c r="N28" s="47">
        <v>0</v>
      </c>
      <c r="O28" s="127">
        <f t="shared" ref="O28:O31" si="4">SUM(F28:N28)</f>
        <v>10079.206980318024</v>
      </c>
    </row>
    <row r="29" spans="1:15">
      <c r="A29" s="332"/>
      <c r="B29" s="335"/>
      <c r="C29" s="338"/>
      <c r="D29" s="341"/>
      <c r="E29" s="30" t="s">
        <v>66</v>
      </c>
      <c r="F29" s="47">
        <v>0</v>
      </c>
      <c r="G29" s="47">
        <v>2092.2650882426597</v>
      </c>
      <c r="H29" s="47">
        <v>18960.419999999998</v>
      </c>
      <c r="I29" s="47"/>
      <c r="J29" s="47">
        <v>0</v>
      </c>
      <c r="K29" s="50"/>
      <c r="L29" s="47">
        <v>0</v>
      </c>
      <c r="M29" s="47">
        <v>0</v>
      </c>
      <c r="N29" s="48">
        <v>0</v>
      </c>
      <c r="O29" s="127">
        <f t="shared" si="4"/>
        <v>21052.685088242659</v>
      </c>
    </row>
    <row r="30" spans="1:15">
      <c r="A30" s="332"/>
      <c r="B30" s="335"/>
      <c r="C30" s="338"/>
      <c r="D30" s="341"/>
      <c r="E30" s="30" t="s">
        <v>67</v>
      </c>
      <c r="F30" s="47">
        <v>4713.6985370668208</v>
      </c>
      <c r="G30" s="47">
        <v>8256.2140795809846</v>
      </c>
      <c r="H30" s="47">
        <v>1718.62152257555</v>
      </c>
      <c r="I30" s="47">
        <v>0</v>
      </c>
      <c r="J30" s="47">
        <v>739.93418047957186</v>
      </c>
      <c r="K30" s="47">
        <v>0</v>
      </c>
      <c r="L30" s="47">
        <v>0</v>
      </c>
      <c r="M30" s="47">
        <v>0</v>
      </c>
      <c r="N30" s="47">
        <v>0</v>
      </c>
      <c r="O30" s="127">
        <f t="shared" si="4"/>
        <v>15428.468319702926</v>
      </c>
    </row>
    <row r="31" spans="1:15">
      <c r="A31" s="332"/>
      <c r="B31" s="335"/>
      <c r="C31" s="338"/>
      <c r="D31" s="341"/>
      <c r="E31" s="30" t="s">
        <v>68</v>
      </c>
      <c r="F31" s="47">
        <v>8754.0115688383812</v>
      </c>
      <c r="G31" s="47">
        <v>15332.969004936114</v>
      </c>
      <c r="H31" s="47">
        <v>3191.7256847831645</v>
      </c>
      <c r="I31" s="47">
        <v>0</v>
      </c>
      <c r="J31" s="47">
        <v>1374.1634780334907</v>
      </c>
      <c r="K31" s="47">
        <v>0</v>
      </c>
      <c r="L31" s="47">
        <v>0</v>
      </c>
      <c r="M31" s="47">
        <v>0</v>
      </c>
      <c r="N31" s="47">
        <v>0</v>
      </c>
      <c r="O31" s="127">
        <f t="shared" si="4"/>
        <v>28652.86973659115</v>
      </c>
    </row>
    <row r="32" spans="1:15">
      <c r="A32" s="333"/>
      <c r="B32" s="336"/>
      <c r="C32" s="339"/>
      <c r="D32" s="342"/>
      <c r="E32" s="129" t="s">
        <v>33</v>
      </c>
      <c r="F32" s="130">
        <v>13467.710105905202</v>
      </c>
      <c r="G32" s="130">
        <v>25681.448172759759</v>
      </c>
      <c r="H32" s="130">
        <v>23870.767207358713</v>
      </c>
      <c r="I32" s="130"/>
      <c r="J32" s="130">
        <v>2114.0976585130625</v>
      </c>
      <c r="K32" s="130"/>
      <c r="L32" s="130">
        <v>7709.570627066204</v>
      </c>
      <c r="M32" s="130">
        <v>2369.6363532518199</v>
      </c>
      <c r="N32" s="130">
        <v>0</v>
      </c>
      <c r="O32" s="131">
        <f>SUM(F32:N32)</f>
        <v>75213.230124854745</v>
      </c>
    </row>
    <row r="33" spans="1:15">
      <c r="A33" s="331" t="s">
        <v>5</v>
      </c>
      <c r="B33" s="334">
        <v>231</v>
      </c>
      <c r="C33" s="337">
        <f>B33/$B$43</f>
        <v>8.4574119879970659E-3</v>
      </c>
      <c r="D33" s="340">
        <v>0</v>
      </c>
      <c r="E33" s="30" t="s">
        <v>69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393.91966707637539</v>
      </c>
      <c r="M33" s="47">
        <v>121.07631002016599</v>
      </c>
      <c r="N33" s="47">
        <v>0</v>
      </c>
      <c r="O33" s="127">
        <f t="shared" ref="O33:O36" si="5">SUM(F33:N33)</f>
        <v>514.99597709654142</v>
      </c>
    </row>
    <row r="34" spans="1:15">
      <c r="A34" s="332"/>
      <c r="B34" s="335"/>
      <c r="C34" s="338"/>
      <c r="D34" s="341"/>
      <c r="E34" s="30" t="s">
        <v>66</v>
      </c>
      <c r="F34" s="47">
        <v>0</v>
      </c>
      <c r="G34" s="47">
        <v>106.90405560363953</v>
      </c>
      <c r="H34" s="47">
        <v>0</v>
      </c>
      <c r="I34" s="47"/>
      <c r="J34" s="47">
        <v>0</v>
      </c>
      <c r="K34" s="50"/>
      <c r="L34" s="47">
        <v>0</v>
      </c>
      <c r="M34" s="47">
        <v>0</v>
      </c>
      <c r="N34" s="48">
        <v>0</v>
      </c>
      <c r="O34" s="127">
        <f t="shared" si="5"/>
        <v>106.90405560363953</v>
      </c>
    </row>
    <row r="35" spans="1:15">
      <c r="A35" s="332"/>
      <c r="B35" s="335"/>
      <c r="C35" s="338"/>
      <c r="D35" s="341"/>
      <c r="E35" s="30" t="s">
        <v>67</v>
      </c>
      <c r="F35" s="47">
        <v>240.84591065304923</v>
      </c>
      <c r="G35" s="47">
        <v>421.85035443114509</v>
      </c>
      <c r="H35" s="47">
        <v>0</v>
      </c>
      <c r="I35" s="47">
        <v>0</v>
      </c>
      <c r="J35" s="47">
        <v>37.806855936912427</v>
      </c>
      <c r="K35" s="47">
        <v>0</v>
      </c>
      <c r="L35" s="47">
        <v>0</v>
      </c>
      <c r="M35" s="47">
        <v>0</v>
      </c>
      <c r="N35" s="47">
        <v>0</v>
      </c>
      <c r="O35" s="127">
        <f t="shared" si="5"/>
        <v>700.50312102110684</v>
      </c>
    </row>
    <row r="36" spans="1:15">
      <c r="A36" s="332"/>
      <c r="B36" s="335"/>
      <c r="C36" s="338"/>
      <c r="D36" s="341"/>
      <c r="E36" s="30" t="s">
        <v>68</v>
      </c>
      <c r="F36" s="47">
        <v>447.28526264137719</v>
      </c>
      <c r="G36" s="47">
        <v>783.43637251498387</v>
      </c>
      <c r="H36" s="47">
        <v>0</v>
      </c>
      <c r="I36" s="47">
        <v>0</v>
      </c>
      <c r="J36" s="47">
        <v>70.212732454265947</v>
      </c>
      <c r="K36" s="47">
        <v>0</v>
      </c>
      <c r="L36" s="47">
        <v>0</v>
      </c>
      <c r="M36" s="47">
        <v>0</v>
      </c>
      <c r="N36" s="47">
        <v>0</v>
      </c>
      <c r="O36" s="127">
        <f t="shared" si="5"/>
        <v>1300.9343676106271</v>
      </c>
    </row>
    <row r="37" spans="1:15">
      <c r="A37" s="333"/>
      <c r="B37" s="336"/>
      <c r="C37" s="339"/>
      <c r="D37" s="342"/>
      <c r="E37" s="129" t="s">
        <v>33</v>
      </c>
      <c r="F37" s="130">
        <v>688.13117329442639</v>
      </c>
      <c r="G37" s="130">
        <v>1312.1907825497685</v>
      </c>
      <c r="H37" s="130">
        <v>0</v>
      </c>
      <c r="I37" s="130"/>
      <c r="J37" s="130">
        <v>108.01958839117837</v>
      </c>
      <c r="K37" s="130"/>
      <c r="L37" s="130">
        <v>393.91966707637539</v>
      </c>
      <c r="M37" s="130">
        <v>121.07631002016599</v>
      </c>
      <c r="N37" s="130">
        <v>0</v>
      </c>
      <c r="O37" s="131">
        <f>SUM(F37:N37)</f>
        <v>2623.337521331915</v>
      </c>
    </row>
    <row r="38" spans="1:15">
      <c r="A38" s="331" t="s">
        <v>26</v>
      </c>
      <c r="B38" s="334">
        <v>893.64</v>
      </c>
      <c r="C38" s="337">
        <f>B38/$B$43</f>
        <v>3.2718102376422933E-2</v>
      </c>
      <c r="D38" s="340">
        <v>161.25</v>
      </c>
      <c r="E38" s="30" t="s">
        <v>69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1523.9063692040352</v>
      </c>
      <c r="M38" s="47">
        <v>468.39235362087067</v>
      </c>
      <c r="N38" s="47">
        <v>0</v>
      </c>
      <c r="O38" s="127">
        <f t="shared" ref="O38:O41" si="6">SUM(F38:N38)</f>
        <v>1992.2987228249058</v>
      </c>
    </row>
    <row r="39" spans="1:15">
      <c r="A39" s="332"/>
      <c r="B39" s="335"/>
      <c r="C39" s="338"/>
      <c r="D39" s="341"/>
      <c r="E39" s="30" t="s">
        <v>66</v>
      </c>
      <c r="F39" s="47">
        <v>0</v>
      </c>
      <c r="G39" s="47">
        <v>413.56597510665125</v>
      </c>
      <c r="H39" s="47">
        <v>5925.1312499999995</v>
      </c>
      <c r="I39" s="47"/>
      <c r="J39" s="47">
        <v>0</v>
      </c>
      <c r="K39" s="50"/>
      <c r="L39" s="47">
        <v>0</v>
      </c>
      <c r="M39" s="47">
        <v>0</v>
      </c>
      <c r="N39" s="48">
        <v>0</v>
      </c>
      <c r="O39" s="127">
        <f t="shared" si="6"/>
        <v>6338.6972251066509</v>
      </c>
    </row>
    <row r="40" spans="1:15">
      <c r="A40" s="332"/>
      <c r="B40" s="335"/>
      <c r="C40" s="338"/>
      <c r="D40" s="341"/>
      <c r="E40" s="30" t="s">
        <v>67</v>
      </c>
      <c r="F40" s="47">
        <v>931.72960864065317</v>
      </c>
      <c r="G40" s="47">
        <v>1631.9582282850583</v>
      </c>
      <c r="H40" s="47">
        <v>790.52199443987911</v>
      </c>
      <c r="I40" s="47">
        <v>0</v>
      </c>
      <c r="J40" s="47">
        <v>146.25852268165548</v>
      </c>
      <c r="K40" s="47">
        <v>0</v>
      </c>
      <c r="L40" s="47">
        <v>0</v>
      </c>
      <c r="M40" s="47">
        <v>0</v>
      </c>
      <c r="N40" s="47">
        <v>0</v>
      </c>
      <c r="O40" s="127">
        <f t="shared" si="6"/>
        <v>3500.4683540472461</v>
      </c>
    </row>
    <row r="41" spans="1:15">
      <c r="A41" s="332"/>
      <c r="B41" s="335"/>
      <c r="C41" s="338"/>
      <c r="D41" s="341"/>
      <c r="E41" s="30" t="s">
        <v>68</v>
      </c>
      <c r="F41" s="47">
        <v>1730.354987475499</v>
      </c>
      <c r="G41" s="47">
        <v>3030.7795668151089</v>
      </c>
      <c r="H41" s="47">
        <v>1468.1122753883469</v>
      </c>
      <c r="I41" s="47">
        <v>0</v>
      </c>
      <c r="J41" s="47">
        <v>271.62297069450307</v>
      </c>
      <c r="K41" s="47">
        <v>0</v>
      </c>
      <c r="L41" s="47">
        <v>0</v>
      </c>
      <c r="M41" s="47">
        <v>0</v>
      </c>
      <c r="N41" s="47">
        <v>0</v>
      </c>
      <c r="O41" s="127">
        <f t="shared" si="6"/>
        <v>6500.8698003734571</v>
      </c>
    </row>
    <row r="42" spans="1:15">
      <c r="A42" s="333"/>
      <c r="B42" s="336"/>
      <c r="C42" s="339"/>
      <c r="D42" s="342"/>
      <c r="E42" s="129" t="s">
        <v>33</v>
      </c>
      <c r="F42" s="130">
        <v>2662.0845961161522</v>
      </c>
      <c r="G42" s="130">
        <v>5076.3037702068186</v>
      </c>
      <c r="H42" s="130">
        <v>8183.7655198282246</v>
      </c>
      <c r="I42" s="130"/>
      <c r="J42" s="130">
        <v>417.88149337615857</v>
      </c>
      <c r="K42" s="130"/>
      <c r="L42" s="130">
        <v>1523.9063692040352</v>
      </c>
      <c r="M42" s="130">
        <v>468.39235362087067</v>
      </c>
      <c r="N42" s="130">
        <v>0</v>
      </c>
      <c r="O42" s="131">
        <f>SUM(F42:N42)</f>
        <v>18332.334102352259</v>
      </c>
    </row>
    <row r="43" spans="1:15">
      <c r="A43" s="319" t="s">
        <v>6</v>
      </c>
      <c r="B43" s="322">
        <f>SUM(B13:B38)</f>
        <v>27313.32</v>
      </c>
      <c r="C43" s="325">
        <f>SUM(C13:C38)</f>
        <v>1</v>
      </c>
      <c r="D43" s="328">
        <f>SUM(D12:D42)</f>
        <v>6095.25</v>
      </c>
      <c r="E43" s="84" t="s">
        <v>69</v>
      </c>
      <c r="F43" s="86">
        <f xml:space="preserve"> F13 + F18 + F23 + F28 + F33 + F38</f>
        <v>0</v>
      </c>
      <c r="G43" s="86">
        <f t="shared" ref="G43:O43" si="7" xml:space="preserve"> G13 + G18 + G23 + G28 + G33 + G38</f>
        <v>0</v>
      </c>
      <c r="H43" s="86">
        <f t="shared" si="7"/>
        <v>0</v>
      </c>
      <c r="I43" s="86"/>
      <c r="J43" s="86">
        <f t="shared" si="7"/>
        <v>0</v>
      </c>
      <c r="K43" s="86">
        <f t="shared" si="7"/>
        <v>0</v>
      </c>
      <c r="L43" s="86">
        <f t="shared" si="7"/>
        <v>46576.856801517337</v>
      </c>
      <c r="M43" s="86">
        <f t="shared" si="7"/>
        <v>14364.75</v>
      </c>
      <c r="N43" s="86">
        <f t="shared" si="7"/>
        <v>8783.84</v>
      </c>
      <c r="O43" s="126">
        <f t="shared" si="7"/>
        <v>69725.446801517333</v>
      </c>
    </row>
    <row r="44" spans="1:15">
      <c r="A44" s="320"/>
      <c r="B44" s="323"/>
      <c r="C44" s="326"/>
      <c r="D44" s="329"/>
      <c r="E44" s="84" t="s">
        <v>66</v>
      </c>
      <c r="F44" s="86">
        <f t="shared" ref="F44:O46" si="8" xml:space="preserve"> F14 + F19 + F24 + F29 + F34 + F39</f>
        <v>0</v>
      </c>
      <c r="G44" s="86">
        <f t="shared" si="8"/>
        <v>12640.279999999999</v>
      </c>
      <c r="H44" s="86">
        <f t="shared" si="8"/>
        <v>211329.68124999999</v>
      </c>
      <c r="I44" s="86"/>
      <c r="J44" s="86">
        <f t="shared" si="8"/>
        <v>0</v>
      </c>
      <c r="K44" s="86">
        <f t="shared" si="8"/>
        <v>0</v>
      </c>
      <c r="L44" s="86">
        <f t="shared" si="8"/>
        <v>0</v>
      </c>
      <c r="M44" s="86">
        <f t="shared" si="8"/>
        <v>0</v>
      </c>
      <c r="N44" s="86">
        <f t="shared" si="8"/>
        <v>0</v>
      </c>
      <c r="O44" s="126">
        <f t="shared" si="8"/>
        <v>223969.96124999999</v>
      </c>
    </row>
    <row r="45" spans="1:15">
      <c r="A45" s="320"/>
      <c r="B45" s="323"/>
      <c r="C45" s="326"/>
      <c r="D45" s="329"/>
      <c r="E45" s="84" t="s">
        <v>67</v>
      </c>
      <c r="F45" s="86">
        <f t="shared" si="8"/>
        <v>28477.49536085776</v>
      </c>
      <c r="G45" s="86">
        <f t="shared" si="8"/>
        <v>49879.366764897342</v>
      </c>
      <c r="H45" s="86">
        <f t="shared" si="8"/>
        <v>16555.643848723623</v>
      </c>
      <c r="I45" s="86"/>
      <c r="J45" s="86">
        <f t="shared" si="8"/>
        <v>4470.2630060553629</v>
      </c>
      <c r="K45" s="86">
        <f t="shared" si="8"/>
        <v>0</v>
      </c>
      <c r="L45" s="86">
        <f t="shared" si="8"/>
        <v>0</v>
      </c>
      <c r="M45" s="86">
        <f t="shared" si="8"/>
        <v>0</v>
      </c>
      <c r="N45" s="86">
        <f t="shared" si="8"/>
        <v>0</v>
      </c>
      <c r="O45" s="126">
        <f t="shared" si="8"/>
        <v>99382.768980534092</v>
      </c>
    </row>
    <row r="46" spans="1:15">
      <c r="A46" s="320"/>
      <c r="B46" s="323"/>
      <c r="C46" s="326"/>
      <c r="D46" s="329"/>
      <c r="E46" s="84" t="s">
        <v>68</v>
      </c>
      <c r="F46" s="86">
        <f t="shared" si="8"/>
        <v>52886.777098735845</v>
      </c>
      <c r="G46" s="86">
        <f t="shared" si="8"/>
        <v>92633.109706237927</v>
      </c>
      <c r="H46" s="86">
        <f t="shared" si="8"/>
        <v>30746.19571905816</v>
      </c>
      <c r="I46" s="86"/>
      <c r="J46" s="86">
        <f t="shared" si="8"/>
        <v>8301.9170112456759</v>
      </c>
      <c r="K46" s="86">
        <f t="shared" si="8"/>
        <v>0</v>
      </c>
      <c r="L46" s="86">
        <f t="shared" si="8"/>
        <v>0</v>
      </c>
      <c r="M46" s="86">
        <f t="shared" si="8"/>
        <v>0</v>
      </c>
      <c r="N46" s="86">
        <f t="shared" si="8"/>
        <v>0</v>
      </c>
      <c r="O46" s="126">
        <f t="shared" si="8"/>
        <v>184567.9995352776</v>
      </c>
    </row>
    <row r="47" spans="1:15">
      <c r="A47" s="321"/>
      <c r="B47" s="324"/>
      <c r="C47" s="327"/>
      <c r="D47" s="330"/>
      <c r="E47" s="84" t="s">
        <v>33</v>
      </c>
      <c r="F47" s="86">
        <f>SUM(F43:F46)</f>
        <v>81364.272459593602</v>
      </c>
      <c r="G47" s="86">
        <f t="shared" ref="G47:O47" si="9">SUM(G43:G46)</f>
        <v>155152.75647113528</v>
      </c>
      <c r="H47" s="86">
        <f t="shared" si="9"/>
        <v>258631.52081778177</v>
      </c>
      <c r="I47" s="86"/>
      <c r="J47" s="86">
        <f t="shared" si="9"/>
        <v>12772.180017301038</v>
      </c>
      <c r="K47" s="86">
        <f t="shared" si="9"/>
        <v>0</v>
      </c>
      <c r="L47" s="86">
        <f t="shared" si="9"/>
        <v>46576.856801517337</v>
      </c>
      <c r="M47" s="86">
        <f t="shared" si="9"/>
        <v>14364.75</v>
      </c>
      <c r="N47" s="86">
        <f t="shared" si="9"/>
        <v>8783.84</v>
      </c>
      <c r="O47" s="126">
        <f t="shared" si="9"/>
        <v>577646.17656732909</v>
      </c>
    </row>
    <row r="48" spans="1:15" ht="15">
      <c r="A48" s="87" t="s">
        <v>36</v>
      </c>
      <c r="B48" s="88" t="s">
        <v>21</v>
      </c>
      <c r="C48" s="9"/>
      <c r="D48" s="83">
        <v>1300.75</v>
      </c>
      <c r="E48" s="30"/>
      <c r="F48" s="47"/>
      <c r="G48" s="47"/>
      <c r="H48" s="47"/>
      <c r="I48" s="47"/>
      <c r="J48" s="47"/>
      <c r="K48" s="50"/>
      <c r="L48" s="47"/>
      <c r="M48" s="47">
        <v>0</v>
      </c>
      <c r="N48" s="47">
        <v>0</v>
      </c>
      <c r="O48" s="127">
        <f t="shared" ref="O48" si="10">SUM(F48:N48)</f>
        <v>0</v>
      </c>
    </row>
    <row r="49" spans="1:15">
      <c r="A49" s="331" t="s">
        <v>7</v>
      </c>
      <c r="B49" s="334">
        <v>250</v>
      </c>
      <c r="C49" s="337">
        <f>B49/$B$69</f>
        <v>8.6595081399376522E-2</v>
      </c>
      <c r="D49" s="340">
        <v>112.63855213023901</v>
      </c>
      <c r="E49" s="30" t="s">
        <v>69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426.31998601339325</v>
      </c>
      <c r="M49" s="47">
        <v>286.80290959473501</v>
      </c>
      <c r="N49" s="47">
        <v>0</v>
      </c>
      <c r="O49" s="127">
        <f t="shared" ref="O49:O52" si="11">SUM(F49:N49)</f>
        <v>713.12289560812826</v>
      </c>
    </row>
    <row r="50" spans="1:15">
      <c r="A50" s="332"/>
      <c r="B50" s="335"/>
      <c r="C50" s="338"/>
      <c r="D50" s="341"/>
      <c r="E50" s="30" t="s">
        <v>66</v>
      </c>
      <c r="F50" s="47">
        <v>0</v>
      </c>
      <c r="G50" s="47">
        <v>0</v>
      </c>
      <c r="H50" s="47">
        <v>0</v>
      </c>
      <c r="I50" s="47">
        <v>4138.9035980256322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27">
        <f t="shared" si="11"/>
        <v>4138.9035980256322</v>
      </c>
    </row>
    <row r="51" spans="1:15">
      <c r="A51" s="332"/>
      <c r="B51" s="335"/>
      <c r="C51" s="338"/>
      <c r="D51" s="341"/>
      <c r="E51" s="30" t="s">
        <v>67</v>
      </c>
      <c r="F51" s="47">
        <v>260.65574746000999</v>
      </c>
      <c r="G51" s="47">
        <v>0</v>
      </c>
      <c r="H51" s="47">
        <v>0</v>
      </c>
      <c r="I51" s="47">
        <v>887.8623920901066</v>
      </c>
      <c r="J51" s="47">
        <v>0</v>
      </c>
      <c r="K51" s="47">
        <v>297.57945226064101</v>
      </c>
      <c r="L51" s="47">
        <v>0</v>
      </c>
      <c r="M51" s="47">
        <v>0</v>
      </c>
      <c r="N51" s="47">
        <v>0</v>
      </c>
      <c r="O51" s="127">
        <f t="shared" si="11"/>
        <v>1446.0975918107574</v>
      </c>
    </row>
    <row r="52" spans="1:15">
      <c r="A52" s="332"/>
      <c r="B52" s="335"/>
      <c r="C52" s="338"/>
      <c r="D52" s="341"/>
      <c r="E52" s="30" t="s">
        <v>68</v>
      </c>
      <c r="F52" s="47">
        <v>484.07495956859003</v>
      </c>
      <c r="G52" s="47">
        <v>0</v>
      </c>
      <c r="H52" s="47">
        <v>0</v>
      </c>
      <c r="I52" s="47">
        <v>1648.8872995959125</v>
      </c>
      <c r="J52" s="47">
        <v>0</v>
      </c>
      <c r="K52" s="47">
        <v>552.6475541983333</v>
      </c>
      <c r="L52" s="47">
        <v>0</v>
      </c>
      <c r="M52" s="47">
        <v>0</v>
      </c>
      <c r="N52" s="47">
        <v>0</v>
      </c>
      <c r="O52" s="127">
        <f t="shared" si="11"/>
        <v>2685.6098133628357</v>
      </c>
    </row>
    <row r="53" spans="1:15">
      <c r="A53" s="333"/>
      <c r="B53" s="336"/>
      <c r="C53" s="339"/>
      <c r="D53" s="342"/>
      <c r="E53" s="129" t="s">
        <v>33</v>
      </c>
      <c r="F53" s="130">
        <v>744.73070702860002</v>
      </c>
      <c r="G53" s="130"/>
      <c r="H53" s="130"/>
      <c r="I53" s="130">
        <v>6675.6532897116513</v>
      </c>
      <c r="J53" s="130">
        <v>0</v>
      </c>
      <c r="K53" s="130">
        <v>850.2270064589743</v>
      </c>
      <c r="L53" s="130">
        <v>426.31998601339325</v>
      </c>
      <c r="M53" s="130">
        <v>286.80290959473501</v>
      </c>
      <c r="N53" s="130">
        <v>0</v>
      </c>
      <c r="O53" s="131">
        <f>SUM(F53:N53)</f>
        <v>8983.7338988073534</v>
      </c>
    </row>
    <row r="54" spans="1:15">
      <c r="A54" s="331" t="s">
        <v>8</v>
      </c>
      <c r="B54" s="334">
        <v>255</v>
      </c>
      <c r="C54" s="337">
        <f>B54/$B$69</f>
        <v>8.8326983027364039E-2</v>
      </c>
      <c r="D54" s="340">
        <v>114.89132317284377</v>
      </c>
      <c r="E54" s="30" t="s">
        <v>69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434.84638573366107</v>
      </c>
      <c r="M54" s="47">
        <v>292.53896778662971</v>
      </c>
      <c r="N54" s="47">
        <v>0</v>
      </c>
      <c r="O54" s="127">
        <f t="shared" ref="O54:O57" si="12">SUM(F54:N54)</f>
        <v>727.38535352029078</v>
      </c>
    </row>
    <row r="55" spans="1:15">
      <c r="A55" s="332"/>
      <c r="B55" s="335"/>
      <c r="C55" s="338"/>
      <c r="D55" s="341"/>
      <c r="E55" s="30" t="s">
        <v>66</v>
      </c>
      <c r="F55" s="47">
        <v>0</v>
      </c>
      <c r="G55" s="47">
        <v>0</v>
      </c>
      <c r="H55" s="47">
        <v>0</v>
      </c>
      <c r="I55" s="47">
        <v>4221.6816699861438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127">
        <f t="shared" si="12"/>
        <v>4221.6816699861438</v>
      </c>
    </row>
    <row r="56" spans="1:15">
      <c r="A56" s="332"/>
      <c r="B56" s="335"/>
      <c r="C56" s="338"/>
      <c r="D56" s="341"/>
      <c r="E56" s="30" t="s">
        <v>67</v>
      </c>
      <c r="F56" s="47">
        <v>265.86886240921018</v>
      </c>
      <c r="G56" s="47">
        <v>0</v>
      </c>
      <c r="H56" s="47">
        <v>0</v>
      </c>
      <c r="I56" s="47">
        <v>905.61963993190864</v>
      </c>
      <c r="J56" s="47">
        <v>0</v>
      </c>
      <c r="K56" s="47">
        <v>303.54270797252047</v>
      </c>
      <c r="L56" s="47">
        <v>0</v>
      </c>
      <c r="M56" s="47">
        <v>0</v>
      </c>
      <c r="N56" s="47">
        <v>0</v>
      </c>
      <c r="O56" s="127">
        <f t="shared" si="12"/>
        <v>1475.0312103136393</v>
      </c>
    </row>
    <row r="57" spans="1:15">
      <c r="A57" s="332"/>
      <c r="B57" s="335"/>
      <c r="C57" s="338"/>
      <c r="D57" s="341"/>
      <c r="E57" s="30" t="s">
        <v>68</v>
      </c>
      <c r="F57" s="47">
        <v>493.75645875996173</v>
      </c>
      <c r="G57" s="47">
        <v>0</v>
      </c>
      <c r="H57" s="47">
        <v>0</v>
      </c>
      <c r="I57" s="47">
        <v>1681.8650455878305</v>
      </c>
      <c r="J57" s="47">
        <v>0</v>
      </c>
      <c r="K57" s="47">
        <v>563.72217194896666</v>
      </c>
      <c r="L57" s="47">
        <v>0</v>
      </c>
      <c r="M57" s="47">
        <v>0</v>
      </c>
      <c r="N57" s="47">
        <v>0</v>
      </c>
      <c r="O57" s="127">
        <f t="shared" si="12"/>
        <v>2739.343676296759</v>
      </c>
    </row>
    <row r="58" spans="1:15">
      <c r="A58" s="333"/>
      <c r="B58" s="336"/>
      <c r="C58" s="339"/>
      <c r="D58" s="342"/>
      <c r="E58" s="129" t="s">
        <v>33</v>
      </c>
      <c r="F58" s="130">
        <v>759.62532116917191</v>
      </c>
      <c r="G58" s="130"/>
      <c r="H58" s="130"/>
      <c r="I58" s="130">
        <v>6809.1663555058831</v>
      </c>
      <c r="J58" s="130"/>
      <c r="K58" s="130">
        <v>867.26487992148714</v>
      </c>
      <c r="L58" s="130">
        <v>434.84638573366107</v>
      </c>
      <c r="M58" s="130">
        <v>292.53896778662971</v>
      </c>
      <c r="N58" s="130">
        <v>0</v>
      </c>
      <c r="O58" s="131">
        <f>SUM(F58:N58)</f>
        <v>9163.4419101168332</v>
      </c>
    </row>
    <row r="59" spans="1:15">
      <c r="A59" s="331" t="s">
        <v>55</v>
      </c>
      <c r="B59" s="334">
        <v>887</v>
      </c>
      <c r="C59" s="337">
        <f>B59/$B$69</f>
        <v>0.30723934880498788</v>
      </c>
      <c r="D59" s="340">
        <v>399.64158295808801</v>
      </c>
      <c r="E59" s="30" t="s">
        <v>69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1512.5833103755192</v>
      </c>
      <c r="M59" s="47">
        <v>1017.5767232421199</v>
      </c>
      <c r="N59" s="47">
        <v>0</v>
      </c>
      <c r="O59" s="127">
        <f t="shared" ref="O59:O62" si="13">SUM(F59:N59)</f>
        <v>2530.1600336176389</v>
      </c>
    </row>
    <row r="60" spans="1:15">
      <c r="A60" s="332"/>
      <c r="B60" s="335"/>
      <c r="C60" s="338"/>
      <c r="D60" s="341"/>
      <c r="E60" s="30" t="s">
        <v>66</v>
      </c>
      <c r="F60" s="47">
        <v>0</v>
      </c>
      <c r="G60" s="47">
        <v>0</v>
      </c>
      <c r="H60" s="47">
        <v>0</v>
      </c>
      <c r="I60" s="47">
        <v>14684.829965794943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127">
        <f t="shared" si="13"/>
        <v>14684.829965794943</v>
      </c>
    </row>
    <row r="61" spans="1:15">
      <c r="A61" s="332"/>
      <c r="B61" s="335"/>
      <c r="C61" s="338"/>
      <c r="D61" s="341"/>
      <c r="E61" s="30" t="s">
        <v>67</v>
      </c>
      <c r="F61" s="47">
        <v>924.80659198811543</v>
      </c>
      <c r="G61" s="47">
        <v>0</v>
      </c>
      <c r="H61" s="47">
        <v>0</v>
      </c>
      <c r="I61" s="47">
        <v>3150.1357671356986</v>
      </c>
      <c r="J61" s="47">
        <v>0</v>
      </c>
      <c r="K61" s="47">
        <v>1055.7990632874209</v>
      </c>
      <c r="L61" s="47">
        <v>0</v>
      </c>
      <c r="M61" s="47">
        <v>0</v>
      </c>
      <c r="N61" s="47">
        <v>0</v>
      </c>
      <c r="O61" s="127">
        <f t="shared" si="13"/>
        <v>5130.7414224112354</v>
      </c>
    </row>
    <row r="62" spans="1:15">
      <c r="A62" s="332"/>
      <c r="B62" s="335"/>
      <c r="C62" s="338"/>
      <c r="D62" s="341"/>
      <c r="E62" s="30" t="s">
        <v>68</v>
      </c>
      <c r="F62" s="47">
        <v>1717.4979565493575</v>
      </c>
      <c r="G62" s="47">
        <v>0</v>
      </c>
      <c r="H62" s="47">
        <v>0</v>
      </c>
      <c r="I62" s="47">
        <v>5850.2521389662979</v>
      </c>
      <c r="J62" s="47">
        <v>0</v>
      </c>
      <c r="K62" s="47">
        <v>1960.7696889623533</v>
      </c>
      <c r="L62" s="47">
        <v>0</v>
      </c>
      <c r="M62" s="47">
        <v>0</v>
      </c>
      <c r="N62" s="47">
        <v>0</v>
      </c>
      <c r="O62" s="127">
        <f t="shared" si="13"/>
        <v>9528.5197844780087</v>
      </c>
    </row>
    <row r="63" spans="1:15">
      <c r="A63" s="333"/>
      <c r="B63" s="336"/>
      <c r="C63" s="339"/>
      <c r="D63" s="342"/>
      <c r="E63" s="129" t="s">
        <v>33</v>
      </c>
      <c r="F63" s="130">
        <v>2642.3045485374728</v>
      </c>
      <c r="G63" s="130"/>
      <c r="H63" s="130"/>
      <c r="I63" s="130">
        <v>23685.217871896941</v>
      </c>
      <c r="J63" s="130"/>
      <c r="K63" s="130">
        <v>3016.5687522497742</v>
      </c>
      <c r="L63" s="130">
        <v>1512.5833103755192</v>
      </c>
      <c r="M63" s="130">
        <v>1017.5767232421199</v>
      </c>
      <c r="N63" s="130">
        <v>0</v>
      </c>
      <c r="O63" s="131">
        <f>SUM(F63:N63)</f>
        <v>31874.251206301826</v>
      </c>
    </row>
    <row r="64" spans="1:15">
      <c r="A64" s="331" t="s">
        <v>9</v>
      </c>
      <c r="B64" s="334">
        <v>1495</v>
      </c>
      <c r="C64" s="337">
        <f>B64/$B$69</f>
        <v>0.51783858676827155</v>
      </c>
      <c r="D64" s="340">
        <v>673.57854173882924</v>
      </c>
      <c r="E64" s="30" t="s">
        <v>69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2549.3935163600918</v>
      </c>
      <c r="M64" s="47">
        <v>1715.0813993765157</v>
      </c>
      <c r="N64" s="47">
        <v>0</v>
      </c>
      <c r="O64" s="127">
        <f t="shared" ref="O64:O67" si="14">SUM(F64:N64)</f>
        <v>4264.4749157366077</v>
      </c>
    </row>
    <row r="65" spans="1:16">
      <c r="A65" s="332"/>
      <c r="B65" s="335"/>
      <c r="C65" s="338"/>
      <c r="D65" s="341"/>
      <c r="E65" s="30" t="s">
        <v>66</v>
      </c>
      <c r="F65" s="47">
        <v>0</v>
      </c>
      <c r="G65" s="47">
        <v>0</v>
      </c>
      <c r="H65" s="47">
        <v>0</v>
      </c>
      <c r="I65" s="47">
        <v>24750.643516193279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127">
        <f t="shared" si="14"/>
        <v>24750.643516193279</v>
      </c>
    </row>
    <row r="66" spans="1:16">
      <c r="A66" s="332"/>
      <c r="B66" s="335"/>
      <c r="C66" s="338"/>
      <c r="D66" s="341"/>
      <c r="E66" s="30" t="s">
        <v>67</v>
      </c>
      <c r="F66" s="47">
        <v>1558.7213698108599</v>
      </c>
      <c r="G66" s="47">
        <v>0</v>
      </c>
      <c r="H66" s="47">
        <v>0</v>
      </c>
      <c r="I66" s="47">
        <v>5309.4171046988358</v>
      </c>
      <c r="J66" s="47">
        <v>0</v>
      </c>
      <c r="K66" s="47">
        <v>1779.5134578519665</v>
      </c>
      <c r="L66" s="47">
        <v>0</v>
      </c>
      <c r="M66" s="47">
        <v>0</v>
      </c>
      <c r="N66" s="47">
        <v>0</v>
      </c>
      <c r="O66" s="127">
        <f t="shared" si="14"/>
        <v>8647.6519323616631</v>
      </c>
    </row>
    <row r="67" spans="1:16">
      <c r="A67" s="332"/>
      <c r="B67" s="335"/>
      <c r="C67" s="338"/>
      <c r="D67" s="341"/>
      <c r="E67" s="30" t="s">
        <v>68</v>
      </c>
      <c r="F67" s="47">
        <v>2894.7682582201687</v>
      </c>
      <c r="G67" s="47">
        <v>0</v>
      </c>
      <c r="H67" s="47">
        <v>0</v>
      </c>
      <c r="I67" s="47">
        <v>9860.3460515835523</v>
      </c>
      <c r="J67" s="47">
        <v>0</v>
      </c>
      <c r="K67" s="47">
        <v>3304.8107074393665</v>
      </c>
      <c r="L67" s="47">
        <v>0</v>
      </c>
      <c r="M67" s="47">
        <v>0</v>
      </c>
      <c r="N67" s="47">
        <v>0</v>
      </c>
      <c r="O67" s="127">
        <f t="shared" si="14"/>
        <v>16059.925017243087</v>
      </c>
    </row>
    <row r="68" spans="1:16">
      <c r="A68" s="333"/>
      <c r="B68" s="336"/>
      <c r="C68" s="339"/>
      <c r="D68" s="342"/>
      <c r="E68" s="129" t="s">
        <v>33</v>
      </c>
      <c r="F68" s="130">
        <v>4453.4896280310286</v>
      </c>
      <c r="G68" s="130"/>
      <c r="H68" s="130"/>
      <c r="I68" s="130">
        <v>39920.40667247567</v>
      </c>
      <c r="J68" s="130"/>
      <c r="K68" s="130">
        <v>5084.324165291333</v>
      </c>
      <c r="L68" s="130">
        <v>2549.3935163600918</v>
      </c>
      <c r="M68" s="130">
        <v>1715.0813993765157</v>
      </c>
      <c r="N68" s="130">
        <v>0</v>
      </c>
      <c r="O68" s="131">
        <f>SUM(F68:N68)</f>
        <v>53722.695381534642</v>
      </c>
    </row>
    <row r="69" spans="1:16">
      <c r="A69" s="319" t="s">
        <v>10</v>
      </c>
      <c r="B69" s="322">
        <f>SUM(B49:B64)</f>
        <v>2887</v>
      </c>
      <c r="C69" s="325"/>
      <c r="D69" s="328">
        <f xml:space="preserve"> D49 + D54 + D59 + D64</f>
        <v>1300.75</v>
      </c>
      <c r="E69" s="84" t="s">
        <v>69</v>
      </c>
      <c r="F69" s="86">
        <f xml:space="preserve"> F49 + F54 + F59 + F64</f>
        <v>0</v>
      </c>
      <c r="G69" s="86">
        <f t="shared" ref="G69:O69" si="15" xml:space="preserve"> G49 + G54 + G59 + G64</f>
        <v>0</v>
      </c>
      <c r="H69" s="86">
        <f t="shared" si="15"/>
        <v>0</v>
      </c>
      <c r="I69" s="86">
        <f t="shared" si="15"/>
        <v>0</v>
      </c>
      <c r="J69" s="86">
        <f t="shared" si="15"/>
        <v>0</v>
      </c>
      <c r="K69" s="86">
        <f t="shared" si="15"/>
        <v>0</v>
      </c>
      <c r="L69" s="86">
        <f t="shared" si="15"/>
        <v>4923.143198482665</v>
      </c>
      <c r="M69" s="86">
        <f t="shared" si="15"/>
        <v>3312</v>
      </c>
      <c r="N69" s="86">
        <f t="shared" si="15"/>
        <v>0</v>
      </c>
      <c r="O69" s="126">
        <f t="shared" si="15"/>
        <v>8235.1431984826668</v>
      </c>
    </row>
    <row r="70" spans="1:16">
      <c r="A70" s="320"/>
      <c r="B70" s="323"/>
      <c r="C70" s="326"/>
      <c r="D70" s="329"/>
      <c r="E70" s="84" t="s">
        <v>66</v>
      </c>
      <c r="F70" s="86">
        <f t="shared" ref="F70:O73" si="16" xml:space="preserve"> F50 + F55 + F60 + F65</f>
        <v>0</v>
      </c>
      <c r="G70" s="86">
        <f t="shared" si="16"/>
        <v>0</v>
      </c>
      <c r="H70" s="86">
        <f t="shared" si="16"/>
        <v>0</v>
      </c>
      <c r="I70" s="86">
        <f t="shared" si="16"/>
        <v>47796.058749999997</v>
      </c>
      <c r="J70" s="86">
        <f t="shared" si="16"/>
        <v>0</v>
      </c>
      <c r="K70" s="86">
        <f t="shared" si="16"/>
        <v>0</v>
      </c>
      <c r="L70" s="86">
        <f t="shared" si="16"/>
        <v>0</v>
      </c>
      <c r="M70" s="86">
        <f t="shared" si="16"/>
        <v>0</v>
      </c>
      <c r="N70" s="86">
        <f t="shared" si="16"/>
        <v>0</v>
      </c>
      <c r="O70" s="126">
        <f t="shared" si="16"/>
        <v>47796.058749999997</v>
      </c>
    </row>
    <row r="71" spans="1:16">
      <c r="A71" s="320"/>
      <c r="B71" s="323"/>
      <c r="C71" s="326"/>
      <c r="D71" s="329"/>
      <c r="E71" s="84" t="s">
        <v>67</v>
      </c>
      <c r="F71" s="86">
        <f t="shared" si="16"/>
        <v>3010.0525716681955</v>
      </c>
      <c r="G71" s="86">
        <f t="shared" si="16"/>
        <v>0</v>
      </c>
      <c r="H71" s="86">
        <f t="shared" si="16"/>
        <v>0</v>
      </c>
      <c r="I71" s="86">
        <f t="shared" si="16"/>
        <v>10253.034903856549</v>
      </c>
      <c r="J71" s="86">
        <f t="shared" si="16"/>
        <v>0</v>
      </c>
      <c r="K71" s="86">
        <f t="shared" si="16"/>
        <v>3436.4346813725488</v>
      </c>
      <c r="L71" s="86">
        <f t="shared" si="16"/>
        <v>0</v>
      </c>
      <c r="M71" s="86">
        <f t="shared" si="16"/>
        <v>0</v>
      </c>
      <c r="N71" s="86">
        <f t="shared" si="16"/>
        <v>0</v>
      </c>
      <c r="O71" s="126">
        <f t="shared" si="16"/>
        <v>16699.522156897296</v>
      </c>
    </row>
    <row r="72" spans="1:16">
      <c r="A72" s="320"/>
      <c r="B72" s="323"/>
      <c r="C72" s="326"/>
      <c r="D72" s="329"/>
      <c r="E72" s="84" t="s">
        <v>68</v>
      </c>
      <c r="F72" s="86">
        <f t="shared" si="16"/>
        <v>5590.0976330980775</v>
      </c>
      <c r="G72" s="86">
        <f t="shared" si="16"/>
        <v>0</v>
      </c>
      <c r="H72" s="86">
        <f t="shared" si="16"/>
        <v>0</v>
      </c>
      <c r="I72" s="86">
        <f t="shared" si="16"/>
        <v>19041.350535733596</v>
      </c>
      <c r="J72" s="86">
        <f t="shared" si="16"/>
        <v>0</v>
      </c>
      <c r="K72" s="86">
        <f t="shared" si="16"/>
        <v>6381.9501225490194</v>
      </c>
      <c r="L72" s="86">
        <f t="shared" si="16"/>
        <v>0</v>
      </c>
      <c r="M72" s="86">
        <f t="shared" si="16"/>
        <v>0</v>
      </c>
      <c r="N72" s="86">
        <f t="shared" si="16"/>
        <v>0</v>
      </c>
      <c r="O72" s="126">
        <f t="shared" si="16"/>
        <v>31013.39829138069</v>
      </c>
    </row>
    <row r="73" spans="1:16">
      <c r="A73" s="321"/>
      <c r="B73" s="324"/>
      <c r="C73" s="327"/>
      <c r="D73" s="330"/>
      <c r="E73" s="84" t="s">
        <v>33</v>
      </c>
      <c r="F73" s="86">
        <f t="shared" si="16"/>
        <v>8600.1502047662725</v>
      </c>
      <c r="G73" s="86">
        <f t="shared" si="16"/>
        <v>0</v>
      </c>
      <c r="H73" s="86">
        <f t="shared" si="16"/>
        <v>0</v>
      </c>
      <c r="I73" s="86">
        <f t="shared" si="16"/>
        <v>77090.44418959014</v>
      </c>
      <c r="J73" s="86">
        <f t="shared" si="16"/>
        <v>0</v>
      </c>
      <c r="K73" s="86">
        <f t="shared" si="16"/>
        <v>9818.3848039215682</v>
      </c>
      <c r="L73" s="86">
        <f t="shared" si="16"/>
        <v>4923.143198482665</v>
      </c>
      <c r="M73" s="86">
        <f t="shared" si="16"/>
        <v>3312</v>
      </c>
      <c r="N73" s="86">
        <f t="shared" si="16"/>
        <v>0</v>
      </c>
      <c r="O73" s="126">
        <f t="shared" si="16"/>
        <v>103744.12239676065</v>
      </c>
    </row>
    <row r="74" spans="1:16" ht="15.75" thickBot="1">
      <c r="A74" s="14" t="s">
        <v>20</v>
      </c>
      <c r="B74" s="15">
        <f>B69+B43</f>
        <v>30200.32</v>
      </c>
      <c r="C74" s="15"/>
      <c r="D74" s="15">
        <f t="shared" ref="D74" si="17">D69+D43</f>
        <v>7396</v>
      </c>
      <c r="E74" s="15"/>
      <c r="F74" s="49">
        <f xml:space="preserve"> F73 + F47</f>
        <v>89964.422664359881</v>
      </c>
      <c r="G74" s="49">
        <f t="shared" ref="G74:N74" si="18" xml:space="preserve"> G73 + G47</f>
        <v>155152.75647113528</v>
      </c>
      <c r="H74" s="49">
        <f t="shared" si="18"/>
        <v>258631.52081778177</v>
      </c>
      <c r="I74" s="49">
        <f t="shared" si="18"/>
        <v>77090.44418959014</v>
      </c>
      <c r="J74" s="49">
        <f t="shared" si="18"/>
        <v>12772.180017301038</v>
      </c>
      <c r="K74" s="49">
        <f t="shared" si="18"/>
        <v>9818.3848039215682</v>
      </c>
      <c r="L74" s="49">
        <f t="shared" si="18"/>
        <v>51500</v>
      </c>
      <c r="M74" s="49">
        <f t="shared" si="18"/>
        <v>17676.75</v>
      </c>
      <c r="N74" s="49">
        <f t="shared" si="18"/>
        <v>8783.84</v>
      </c>
      <c r="O74" s="128">
        <f>SUM(F74:N74)</f>
        <v>681390.2989640896</v>
      </c>
    </row>
    <row r="75" spans="1:16" s="2" customFormat="1" ht="15" thickTop="1">
      <c r="A75"/>
      <c r="B75"/>
      <c r="F75" s="31"/>
      <c r="O75" s="122"/>
      <c r="P75"/>
    </row>
    <row r="76" spans="1:16">
      <c r="H76" s="2" t="e">
        <f xml:space="preserve"> 'סיכום עלויות - דצמבר 16 בפועל'!H74</f>
        <v>#REF!</v>
      </c>
    </row>
    <row r="77" spans="1:16">
      <c r="H77" s="2">
        <f xml:space="preserve"> 86 * E3</f>
        <v>0</v>
      </c>
    </row>
    <row r="79" spans="1:16" s="2" customFormat="1">
      <c r="A79"/>
      <c r="B79"/>
      <c r="C79"/>
      <c r="D79"/>
      <c r="E79"/>
      <c r="H79" s="26"/>
      <c r="I79" s="26"/>
      <c r="J79" s="26"/>
      <c r="K79" s="26"/>
      <c r="L79" s="26"/>
      <c r="M79" s="26"/>
      <c r="N79" s="26"/>
      <c r="O79" s="122"/>
      <c r="P79"/>
    </row>
    <row r="80" spans="1:16" s="2" customFormat="1">
      <c r="A80"/>
      <c r="B80"/>
      <c r="C80"/>
      <c r="D80"/>
      <c r="E80"/>
      <c r="H80" s="26"/>
      <c r="I80" s="26"/>
      <c r="J80" s="26"/>
      <c r="K80" s="26"/>
      <c r="L80" s="26"/>
      <c r="M80" s="26"/>
      <c r="N80" s="26"/>
      <c r="O80" s="122"/>
      <c r="P80"/>
    </row>
    <row r="81" spans="1:16" s="2" customFormat="1">
      <c r="A81"/>
      <c r="B81"/>
      <c r="C81"/>
      <c r="D81"/>
      <c r="E81"/>
      <c r="H81" s="26"/>
      <c r="I81" s="26"/>
      <c r="J81" s="26"/>
      <c r="K81" s="26"/>
      <c r="L81" s="26"/>
      <c r="M81" s="26"/>
      <c r="N81" s="26"/>
      <c r="O81" s="122"/>
      <c r="P81"/>
    </row>
    <row r="82" spans="1:16" s="2" customFormat="1">
      <c r="A82"/>
      <c r="B82"/>
      <c r="C82"/>
      <c r="D82"/>
      <c r="E82"/>
      <c r="H82" s="26"/>
      <c r="I82" s="26"/>
      <c r="J82" s="26"/>
      <c r="K82" s="26"/>
      <c r="L82" s="26"/>
      <c r="M82" s="26"/>
      <c r="N82" s="26"/>
      <c r="O82" s="122"/>
      <c r="P82"/>
    </row>
    <row r="83" spans="1:16" s="2" customFormat="1">
      <c r="A83"/>
      <c r="B83"/>
      <c r="C83"/>
      <c r="D83"/>
      <c r="E83"/>
      <c r="H83" s="27"/>
      <c r="I83" s="26"/>
      <c r="J83" s="26"/>
      <c r="K83" s="26"/>
      <c r="L83" s="26"/>
      <c r="M83" s="28"/>
      <c r="N83" s="28"/>
      <c r="O83" s="122"/>
      <c r="P83"/>
    </row>
    <row r="84" spans="1:16" s="2" customFormat="1">
      <c r="A84"/>
      <c r="B84"/>
      <c r="C84"/>
      <c r="D84"/>
      <c r="E84"/>
      <c r="H84" s="26"/>
      <c r="I84" s="26"/>
      <c r="J84" s="26"/>
      <c r="K84" s="26"/>
      <c r="L84" s="26"/>
      <c r="M84" s="27"/>
      <c r="N84" s="27"/>
      <c r="O84" s="122"/>
      <c r="P84"/>
    </row>
    <row r="85" spans="1:16" s="2" customFormat="1">
      <c r="A85"/>
      <c r="B85"/>
      <c r="C85"/>
      <c r="D85"/>
      <c r="E85"/>
      <c r="H85" s="26"/>
      <c r="I85" s="26"/>
      <c r="J85" s="26"/>
      <c r="K85" s="26"/>
      <c r="L85" s="26"/>
      <c r="M85" s="27"/>
      <c r="N85" s="27"/>
      <c r="O85" s="122"/>
      <c r="P85"/>
    </row>
    <row r="86" spans="1:16" s="2" customFormat="1">
      <c r="A86"/>
      <c r="B86"/>
      <c r="C86"/>
      <c r="D86"/>
      <c r="E86"/>
      <c r="H86" s="26"/>
      <c r="I86" s="26"/>
      <c r="J86" s="26"/>
      <c r="K86" s="26"/>
      <c r="L86" s="26"/>
      <c r="M86" s="27"/>
      <c r="N86" s="27"/>
      <c r="O86" s="122"/>
      <c r="P86"/>
    </row>
    <row r="87" spans="1:16" s="2" customFormat="1">
      <c r="A87"/>
      <c r="B87"/>
      <c r="C87"/>
      <c r="D87"/>
      <c r="E87"/>
      <c r="H87" s="26"/>
      <c r="I87" s="26"/>
      <c r="J87" s="26"/>
      <c r="K87" s="26"/>
      <c r="L87" s="26"/>
      <c r="M87" s="27"/>
      <c r="N87" s="27"/>
      <c r="O87" s="122"/>
      <c r="P87"/>
    </row>
    <row r="88" spans="1:16" s="2" customFormat="1">
      <c r="A88"/>
      <c r="B88"/>
      <c r="C88"/>
      <c r="D88"/>
      <c r="E88"/>
      <c r="H88" s="26"/>
      <c r="I88" s="26"/>
      <c r="J88" s="26"/>
      <c r="K88" s="26"/>
      <c r="L88" s="26"/>
      <c r="M88" s="26"/>
      <c r="N88" s="26"/>
      <c r="O88" s="122"/>
      <c r="P88"/>
    </row>
    <row r="89" spans="1:16" s="2" customFormat="1">
      <c r="A89"/>
      <c r="B89"/>
      <c r="C89"/>
      <c r="D89"/>
      <c r="E89"/>
      <c r="H89" s="26"/>
      <c r="I89" s="26"/>
      <c r="J89" s="26"/>
      <c r="K89" s="26"/>
      <c r="L89" s="26"/>
      <c r="M89" s="26"/>
      <c r="N89" s="26"/>
      <c r="O89" s="122"/>
      <c r="P89"/>
    </row>
    <row r="90" spans="1:16" s="2" customFormat="1">
      <c r="A90"/>
      <c r="B90"/>
      <c r="C90"/>
      <c r="D90"/>
      <c r="E90"/>
      <c r="H90" s="26"/>
      <c r="I90" s="26"/>
      <c r="J90" s="26"/>
      <c r="K90" s="26"/>
      <c r="L90" s="26"/>
      <c r="M90" s="26"/>
      <c r="N90" s="26"/>
      <c r="O90" s="122"/>
      <c r="P90"/>
    </row>
    <row r="91" spans="1:16" s="2" customFormat="1">
      <c r="A91"/>
      <c r="B91"/>
      <c r="C91"/>
      <c r="D91"/>
      <c r="E91"/>
      <c r="H91" s="26"/>
      <c r="I91" s="26"/>
      <c r="J91" s="26"/>
      <c r="K91" s="26"/>
      <c r="L91" s="26"/>
      <c r="M91" s="26"/>
      <c r="N91" s="26"/>
      <c r="O91" s="122"/>
      <c r="P91"/>
    </row>
    <row r="92" spans="1:16" s="2" customFormat="1">
      <c r="A92"/>
      <c r="B92"/>
      <c r="C92"/>
      <c r="D92"/>
      <c r="E92"/>
      <c r="H92" s="26"/>
      <c r="I92" s="26"/>
      <c r="J92" s="26"/>
      <c r="K92" s="26"/>
      <c r="L92" s="26"/>
      <c r="M92" s="26"/>
      <c r="N92" s="26"/>
      <c r="O92" s="122"/>
      <c r="P92"/>
    </row>
    <row r="93" spans="1:16" s="2" customFormat="1">
      <c r="A93"/>
      <c r="B93"/>
      <c r="C93"/>
      <c r="D93"/>
      <c r="E93"/>
      <c r="H93" s="26"/>
      <c r="I93" s="26"/>
      <c r="J93" s="26"/>
      <c r="K93" s="26"/>
      <c r="L93" s="26"/>
      <c r="M93" s="26"/>
      <c r="N93" s="26"/>
      <c r="O93" s="122"/>
      <c r="P93"/>
    </row>
    <row r="94" spans="1:16" s="2" customFormat="1">
      <c r="A94"/>
      <c r="B94"/>
      <c r="C94"/>
      <c r="D94"/>
      <c r="E94"/>
      <c r="H94" s="26"/>
      <c r="I94" s="26"/>
      <c r="J94" s="26"/>
      <c r="K94" s="26"/>
      <c r="L94" s="26"/>
      <c r="M94" s="26"/>
      <c r="N94" s="26"/>
      <c r="O94" s="122"/>
      <c r="P94"/>
    </row>
  </sheetData>
  <mergeCells count="53">
    <mergeCell ref="A13:A17"/>
    <mergeCell ref="B13:B17"/>
    <mergeCell ref="C13:C17"/>
    <mergeCell ref="D13:D17"/>
    <mergeCell ref="A2:O2"/>
    <mergeCell ref="A6:A10"/>
    <mergeCell ref="B6:B10"/>
    <mergeCell ref="C6:C10"/>
    <mergeCell ref="D6:D10"/>
    <mergeCell ref="A18:A22"/>
    <mergeCell ref="B18:B22"/>
    <mergeCell ref="C18:C22"/>
    <mergeCell ref="D18:D22"/>
    <mergeCell ref="A23:A27"/>
    <mergeCell ref="B23:B27"/>
    <mergeCell ref="C23:C27"/>
    <mergeCell ref="D23:D27"/>
    <mergeCell ref="A28:A32"/>
    <mergeCell ref="B28:B32"/>
    <mergeCell ref="C28:C32"/>
    <mergeCell ref="D28:D32"/>
    <mergeCell ref="A33:A37"/>
    <mergeCell ref="B33:B37"/>
    <mergeCell ref="C33:C37"/>
    <mergeCell ref="D33:D37"/>
    <mergeCell ref="A38:A42"/>
    <mergeCell ref="B38:B42"/>
    <mergeCell ref="C38:C42"/>
    <mergeCell ref="D38:D42"/>
    <mergeCell ref="A43:A47"/>
    <mergeCell ref="B43:B47"/>
    <mergeCell ref="C43:C47"/>
    <mergeCell ref="D43:D47"/>
    <mergeCell ref="A49:A53"/>
    <mergeCell ref="B49:B53"/>
    <mergeCell ref="C49:C53"/>
    <mergeCell ref="D49:D53"/>
    <mergeCell ref="A54:A58"/>
    <mergeCell ref="B54:B58"/>
    <mergeCell ref="C54:C58"/>
    <mergeCell ref="D54:D58"/>
    <mergeCell ref="A69:A73"/>
    <mergeCell ref="B69:B73"/>
    <mergeCell ref="C69:C73"/>
    <mergeCell ref="D69:D73"/>
    <mergeCell ref="A59:A63"/>
    <mergeCell ref="B59:B63"/>
    <mergeCell ref="C59:C63"/>
    <mergeCell ref="D59:D63"/>
    <mergeCell ref="A64:A68"/>
    <mergeCell ref="B64:B68"/>
    <mergeCell ref="C64:C68"/>
    <mergeCell ref="D64:D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E7"/>
  <sheetViews>
    <sheetView rightToLeft="1" zoomScale="400" zoomScaleNormal="400" zoomScaleSheetLayoutView="85" workbookViewId="0">
      <selection activeCell="C3" sqref="C3"/>
    </sheetView>
  </sheetViews>
  <sheetFormatPr defaultColWidth="8.625" defaultRowHeight="15"/>
  <cols>
    <col min="1" max="1" width="15.875" style="43" bestFit="1" customWidth="1"/>
    <col min="2" max="2" width="7.375" style="43" bestFit="1" customWidth="1"/>
    <col min="3" max="3" width="7.875" style="42" customWidth="1"/>
    <col min="4" max="4" width="8" style="42" bestFit="1" customWidth="1"/>
    <col min="5" max="16384" width="8.625" style="42"/>
  </cols>
  <sheetData>
    <row r="1" spans="1:5">
      <c r="A1" s="52" t="s">
        <v>225</v>
      </c>
      <c r="B1" s="52" t="s">
        <v>226</v>
      </c>
      <c r="C1" s="134">
        <v>42736</v>
      </c>
      <c r="D1" s="135" t="s">
        <v>78</v>
      </c>
    </row>
    <row r="2" spans="1:5">
      <c r="A2" s="136" t="s">
        <v>227</v>
      </c>
      <c r="B2" s="137">
        <f>'הצמדה שעת נקיון '!D22</f>
        <v>36.74459367548387</v>
      </c>
      <c r="C2" s="138">
        <f>'הצמדה שעת נקיון '!H22</f>
        <v>39.670920586118548</v>
      </c>
      <c r="D2" s="139">
        <f>C2/B2-1</f>
        <v>7.963965900613923E-2</v>
      </c>
      <c r="E2" s="133"/>
    </row>
    <row r="3" spans="1:5">
      <c r="A3" s="140" t="s">
        <v>228</v>
      </c>
      <c r="B3" s="140">
        <f>'השכר הממוצע לפי ביטוח לאומי'!B8</f>
        <v>9334</v>
      </c>
      <c r="C3" s="147">
        <f>'השכר הממוצע לפי ביטוח לאומי'!B7</f>
        <v>9543</v>
      </c>
      <c r="D3" s="141">
        <f t="shared" ref="D3:D4" si="0">C3/B3-1</f>
        <v>2.2391257767302442E-2</v>
      </c>
    </row>
    <row r="4" spans="1:5">
      <c r="A4" s="142" t="s">
        <v>229</v>
      </c>
      <c r="B4" s="143">
        <f>'מדד המחירים לצרכן'!D28</f>
        <v>100.098</v>
      </c>
      <c r="C4" s="144">
        <f>'מדד המחירים לצרכן'!D2</f>
        <v>98.7</v>
      </c>
      <c r="D4" s="145">
        <f t="shared" si="0"/>
        <v>-1.3966313013247023E-2</v>
      </c>
    </row>
    <row r="5" spans="1:5">
      <c r="B5" s="132"/>
      <c r="C5" s="133"/>
      <c r="D5" s="118"/>
    </row>
    <row r="6" spans="1:5">
      <c r="B6" s="132"/>
      <c r="C6" s="133"/>
      <c r="D6" s="118"/>
    </row>
    <row r="7" spans="1:5">
      <c r="B7" s="132"/>
      <c r="C7" s="133"/>
      <c r="D7" s="1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6" orientation="landscape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rightToLeft="1" workbookViewId="0">
      <selection activeCell="D2" sqref="D2"/>
    </sheetView>
  </sheetViews>
  <sheetFormatPr defaultRowHeight="14.25"/>
  <cols>
    <col min="1" max="1" width="6.625" customWidth="1"/>
    <col min="2" max="2" width="10.125" customWidth="1"/>
    <col min="3" max="4" width="11.125" customWidth="1"/>
  </cols>
  <sheetData>
    <row r="1" spans="1:6" ht="16.5" customHeight="1" thickBot="1">
      <c r="A1" s="105" t="s">
        <v>212</v>
      </c>
      <c r="B1" s="105" t="s">
        <v>213</v>
      </c>
      <c r="C1" s="105"/>
      <c r="D1" s="105" t="s">
        <v>214</v>
      </c>
    </row>
    <row r="2" spans="1:6" ht="16.5" customHeight="1">
      <c r="A2" s="117">
        <v>42736</v>
      </c>
      <c r="B2" s="107">
        <v>99.8</v>
      </c>
      <c r="C2" s="116"/>
      <c r="D2" s="107">
        <v>98.7</v>
      </c>
    </row>
    <row r="3" spans="1:6" ht="16.5" customHeight="1">
      <c r="A3" s="106">
        <v>42705</v>
      </c>
      <c r="B3" s="107">
        <v>98.9</v>
      </c>
      <c r="C3" s="116"/>
      <c r="D3" s="107">
        <v>98.9</v>
      </c>
    </row>
    <row r="4" spans="1:6">
      <c r="A4" s="106">
        <v>42675</v>
      </c>
      <c r="B4" s="107">
        <v>98.9</v>
      </c>
      <c r="C4" s="107">
        <v>-0.4</v>
      </c>
      <c r="D4" s="107">
        <v>98.9</v>
      </c>
      <c r="F4" s="46"/>
    </row>
    <row r="5" spans="1:6">
      <c r="A5" s="106">
        <v>42644</v>
      </c>
      <c r="B5" s="107">
        <v>99.3</v>
      </c>
      <c r="C5" s="107">
        <v>0.2</v>
      </c>
      <c r="D5" s="107">
        <v>99.3</v>
      </c>
      <c r="F5" s="46"/>
    </row>
    <row r="6" spans="1:6" ht="28.5">
      <c r="A6" s="106">
        <v>42614</v>
      </c>
      <c r="B6" s="107">
        <v>99.1</v>
      </c>
      <c r="C6" s="107">
        <v>-0.1</v>
      </c>
      <c r="D6" s="107">
        <v>99.1</v>
      </c>
      <c r="F6" s="46"/>
    </row>
    <row r="7" spans="1:6">
      <c r="A7" s="106">
        <v>42583</v>
      </c>
      <c r="B7" s="107">
        <v>99.2</v>
      </c>
      <c r="C7" s="107">
        <v>-0.3</v>
      </c>
      <c r="D7" s="107">
        <v>99.2</v>
      </c>
      <c r="F7" s="46"/>
    </row>
    <row r="8" spans="1:6">
      <c r="A8" s="106">
        <v>42552</v>
      </c>
      <c r="B8" s="107">
        <v>99.5</v>
      </c>
      <c r="C8" s="107">
        <v>0.4</v>
      </c>
      <c r="D8" s="107">
        <v>99.5</v>
      </c>
      <c r="F8" s="46"/>
    </row>
    <row r="9" spans="1:6">
      <c r="A9" s="106">
        <v>42522</v>
      </c>
      <c r="B9" s="107">
        <v>99.1</v>
      </c>
      <c r="C9" s="107">
        <v>0.3</v>
      </c>
      <c r="D9" s="107">
        <v>99.1</v>
      </c>
      <c r="F9" s="110"/>
    </row>
    <row r="10" spans="1:6">
      <c r="A10" s="106">
        <v>42491</v>
      </c>
      <c r="B10" s="107">
        <v>98.8</v>
      </c>
      <c r="C10" s="107">
        <v>0.3</v>
      </c>
      <c r="D10" s="107">
        <v>98.8</v>
      </c>
    </row>
    <row r="11" spans="1:6">
      <c r="A11" s="106">
        <v>42461</v>
      </c>
      <c r="B11" s="107">
        <v>98.5</v>
      </c>
      <c r="C11" s="107">
        <v>0.4</v>
      </c>
      <c r="D11" s="107">
        <v>98.5</v>
      </c>
    </row>
    <row r="12" spans="1:6">
      <c r="A12" s="106">
        <v>42430</v>
      </c>
      <c r="B12" s="107">
        <v>98.1</v>
      </c>
      <c r="C12" s="107">
        <v>-0.2</v>
      </c>
      <c r="D12" s="107">
        <v>98.1</v>
      </c>
    </row>
    <row r="13" spans="1:6">
      <c r="A13" s="106">
        <v>42401</v>
      </c>
      <c r="B13" s="107">
        <v>98.3</v>
      </c>
      <c r="C13" s="107">
        <v>-0.3</v>
      </c>
      <c r="D13" s="107">
        <v>98.3</v>
      </c>
    </row>
    <row r="14" spans="1:6">
      <c r="A14" s="106">
        <v>42370</v>
      </c>
      <c r="B14" s="107">
        <v>98.6</v>
      </c>
      <c r="C14" s="107">
        <v>-0.5</v>
      </c>
      <c r="D14" s="107">
        <v>98.6</v>
      </c>
    </row>
    <row r="15" spans="1:6">
      <c r="A15" s="106">
        <v>42339</v>
      </c>
      <c r="B15" s="107">
        <v>99.1</v>
      </c>
      <c r="C15" s="107">
        <v>-0.1</v>
      </c>
      <c r="D15" s="107">
        <v>99.1</v>
      </c>
    </row>
    <row r="16" spans="1:6">
      <c r="A16" s="106">
        <v>42309</v>
      </c>
      <c r="B16" s="107">
        <v>99.2</v>
      </c>
      <c r="C16" s="107">
        <v>-0.4</v>
      </c>
      <c r="D16" s="107">
        <v>99.2</v>
      </c>
    </row>
    <row r="17" spans="1:4">
      <c r="A17" s="106">
        <v>42278</v>
      </c>
      <c r="B17" s="107">
        <v>99.6</v>
      </c>
      <c r="C17" s="107">
        <v>0.1</v>
      </c>
      <c r="D17" s="107">
        <v>99.6</v>
      </c>
    </row>
    <row r="18" spans="1:4" ht="28.5">
      <c r="A18" s="106">
        <v>42248</v>
      </c>
      <c r="B18" s="107">
        <v>99.5</v>
      </c>
      <c r="C18" s="107">
        <v>-0.4</v>
      </c>
      <c r="D18" s="107">
        <v>99.5</v>
      </c>
    </row>
    <row r="19" spans="1:4">
      <c r="A19" s="106">
        <v>42217</v>
      </c>
      <c r="B19" s="107">
        <v>99.9</v>
      </c>
      <c r="C19" s="107">
        <v>-0.2</v>
      </c>
      <c r="D19" s="107">
        <v>99.9</v>
      </c>
    </row>
    <row r="20" spans="1:4">
      <c r="A20" s="106">
        <v>42186</v>
      </c>
      <c r="B20" s="107">
        <v>100.1</v>
      </c>
      <c r="C20" s="107">
        <v>0.2</v>
      </c>
      <c r="D20" s="107">
        <v>100.1</v>
      </c>
    </row>
    <row r="21" spans="1:4">
      <c r="A21" s="106">
        <v>42156</v>
      </c>
      <c r="B21" s="107">
        <v>99.9</v>
      </c>
      <c r="C21" s="107">
        <v>0.3</v>
      </c>
      <c r="D21" s="107">
        <v>99.9</v>
      </c>
    </row>
    <row r="22" spans="1:4">
      <c r="A22" s="106">
        <v>42125</v>
      </c>
      <c r="B22" s="107">
        <v>99.6</v>
      </c>
      <c r="C22" s="107">
        <v>0.2</v>
      </c>
      <c r="D22" s="107">
        <v>99.6</v>
      </c>
    </row>
    <row r="23" spans="1:4">
      <c r="A23" s="106">
        <v>42095</v>
      </c>
      <c r="B23" s="107">
        <v>99.4</v>
      </c>
      <c r="C23" s="107">
        <v>0.6</v>
      </c>
      <c r="D23" s="107">
        <v>99.4</v>
      </c>
    </row>
    <row r="24" spans="1:4">
      <c r="A24" s="106">
        <v>42064</v>
      </c>
      <c r="B24" s="107">
        <v>98.8</v>
      </c>
      <c r="C24" s="107">
        <v>0.3</v>
      </c>
      <c r="D24" s="107">
        <v>98.8</v>
      </c>
    </row>
    <row r="25" spans="1:4">
      <c r="A25" s="106">
        <v>42036</v>
      </c>
      <c r="B25" s="107">
        <v>98.5</v>
      </c>
      <c r="C25" s="107">
        <v>-0.7</v>
      </c>
      <c r="D25" s="107">
        <v>98.5</v>
      </c>
    </row>
    <row r="26" spans="1:4">
      <c r="A26" s="106">
        <v>42005</v>
      </c>
      <c r="B26" s="107">
        <v>99.2</v>
      </c>
      <c r="C26" s="107">
        <v>-0.9</v>
      </c>
      <c r="D26" s="107">
        <v>99.2</v>
      </c>
    </row>
    <row r="27" spans="1:4">
      <c r="A27" s="108">
        <v>41974</v>
      </c>
      <c r="B27" s="109">
        <v>102.1</v>
      </c>
      <c r="C27" s="109">
        <v>0</v>
      </c>
      <c r="D27" s="109">
        <v>100.098</v>
      </c>
    </row>
    <row r="28" spans="1:4">
      <c r="A28" s="106">
        <v>41944</v>
      </c>
      <c r="B28" s="107">
        <v>102.1</v>
      </c>
      <c r="C28" s="107">
        <v>-0.2</v>
      </c>
      <c r="D28" s="107">
        <v>100.098</v>
      </c>
    </row>
    <row r="29" spans="1:4">
      <c r="A29" s="106">
        <v>41913</v>
      </c>
      <c r="B29" s="107">
        <v>102.3</v>
      </c>
      <c r="C29" s="107">
        <v>0.3</v>
      </c>
      <c r="D29" s="107">
        <v>100.2941</v>
      </c>
    </row>
    <row r="30" spans="1:4" ht="28.5">
      <c r="A30" s="106">
        <v>41883</v>
      </c>
      <c r="B30" s="107">
        <v>102</v>
      </c>
      <c r="C30" s="107">
        <v>-0.3</v>
      </c>
      <c r="D30" s="107">
        <v>100</v>
      </c>
    </row>
    <row r="31" spans="1:4">
      <c r="A31" s="106">
        <v>41852</v>
      </c>
      <c r="B31" s="107">
        <v>102.3</v>
      </c>
      <c r="C31" s="107">
        <v>-0.1</v>
      </c>
      <c r="D31" s="107">
        <v>100.2941</v>
      </c>
    </row>
    <row r="32" spans="1:4">
      <c r="A32" s="106">
        <v>41821</v>
      </c>
      <c r="B32" s="107">
        <v>102.4</v>
      </c>
      <c r="C32" s="107">
        <v>0.1</v>
      </c>
      <c r="D32" s="107">
        <v>100.3922</v>
      </c>
    </row>
    <row r="33" spans="1:4">
      <c r="A33" s="106">
        <v>41791</v>
      </c>
      <c r="B33" s="107">
        <v>102.3</v>
      </c>
      <c r="C33" s="107">
        <v>0.3</v>
      </c>
      <c r="D33" s="107">
        <v>100.2941</v>
      </c>
    </row>
    <row r="34" spans="1:4">
      <c r="A34" s="106">
        <v>41760</v>
      </c>
      <c r="B34" s="107">
        <v>102</v>
      </c>
      <c r="C34" s="107">
        <v>0.1</v>
      </c>
      <c r="D34" s="107">
        <v>100</v>
      </c>
    </row>
    <row r="35" spans="1:4">
      <c r="A35" s="106">
        <v>41730</v>
      </c>
      <c r="B35" s="107">
        <v>101.9</v>
      </c>
      <c r="C35" s="107">
        <v>0.1</v>
      </c>
      <c r="D35" s="107">
        <v>99.902000000000001</v>
      </c>
    </row>
    <row r="36" spans="1:4">
      <c r="A36" s="106">
        <v>41699</v>
      </c>
      <c r="B36" s="107">
        <v>101.8</v>
      </c>
      <c r="C36" s="107">
        <v>0.3</v>
      </c>
      <c r="D36" s="107">
        <v>99.803899999999999</v>
      </c>
    </row>
    <row r="37" spans="1:4">
      <c r="A37" s="106">
        <v>41671</v>
      </c>
      <c r="B37" s="107">
        <v>101.5</v>
      </c>
      <c r="C37" s="107">
        <v>-0.2</v>
      </c>
      <c r="D37" s="107">
        <v>99.509799999999998</v>
      </c>
    </row>
    <row r="38" spans="1:4">
      <c r="A38" s="106">
        <v>41640</v>
      </c>
      <c r="B38" s="107">
        <v>101.7</v>
      </c>
      <c r="C38" s="107">
        <v>-0.6</v>
      </c>
      <c r="D38" s="107">
        <v>99.7059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rightToLeft="1" workbookViewId="0">
      <selection activeCell="B7" sqref="B7"/>
    </sheetView>
  </sheetViews>
  <sheetFormatPr defaultRowHeight="18" customHeight="1"/>
  <cols>
    <col min="1" max="1" width="9.375" style="104" customWidth="1"/>
    <col min="2" max="7" width="10.125" style="92" customWidth="1"/>
    <col min="8" max="256" width="9" style="92"/>
    <col min="257" max="257" width="9.375" style="92" customWidth="1"/>
    <col min="258" max="263" width="10.125" style="92" customWidth="1"/>
    <col min="264" max="512" width="9" style="92"/>
    <col min="513" max="513" width="9.375" style="92" customWidth="1"/>
    <col min="514" max="519" width="10.125" style="92" customWidth="1"/>
    <col min="520" max="768" width="9" style="92"/>
    <col min="769" max="769" width="9.375" style="92" customWidth="1"/>
    <col min="770" max="775" width="10.125" style="92" customWidth="1"/>
    <col min="776" max="1024" width="9" style="92"/>
    <col min="1025" max="1025" width="9.375" style="92" customWidth="1"/>
    <col min="1026" max="1031" width="10.125" style="92" customWidth="1"/>
    <col min="1032" max="1280" width="9" style="92"/>
    <col min="1281" max="1281" width="9.375" style="92" customWidth="1"/>
    <col min="1282" max="1287" width="10.125" style="92" customWidth="1"/>
    <col min="1288" max="1536" width="9" style="92"/>
    <col min="1537" max="1537" width="9.375" style="92" customWidth="1"/>
    <col min="1538" max="1543" width="10.125" style="92" customWidth="1"/>
    <col min="1544" max="1792" width="9" style="92"/>
    <col min="1793" max="1793" width="9.375" style="92" customWidth="1"/>
    <col min="1794" max="1799" width="10.125" style="92" customWidth="1"/>
    <col min="1800" max="2048" width="9" style="92"/>
    <col min="2049" max="2049" width="9.375" style="92" customWidth="1"/>
    <col min="2050" max="2055" width="10.125" style="92" customWidth="1"/>
    <col min="2056" max="2304" width="9" style="92"/>
    <col min="2305" max="2305" width="9.375" style="92" customWidth="1"/>
    <col min="2306" max="2311" width="10.125" style="92" customWidth="1"/>
    <col min="2312" max="2560" width="9" style="92"/>
    <col min="2561" max="2561" width="9.375" style="92" customWidth="1"/>
    <col min="2562" max="2567" width="10.125" style="92" customWidth="1"/>
    <col min="2568" max="2816" width="9" style="92"/>
    <col min="2817" max="2817" width="9.375" style="92" customWidth="1"/>
    <col min="2818" max="2823" width="10.125" style="92" customWidth="1"/>
    <col min="2824" max="3072" width="9" style="92"/>
    <col min="3073" max="3073" width="9.375" style="92" customWidth="1"/>
    <col min="3074" max="3079" width="10.125" style="92" customWidth="1"/>
    <col min="3080" max="3328" width="9" style="92"/>
    <col min="3329" max="3329" width="9.375" style="92" customWidth="1"/>
    <col min="3330" max="3335" width="10.125" style="92" customWidth="1"/>
    <col min="3336" max="3584" width="9" style="92"/>
    <col min="3585" max="3585" width="9.375" style="92" customWidth="1"/>
    <col min="3586" max="3591" width="10.125" style="92" customWidth="1"/>
    <col min="3592" max="3840" width="9" style="92"/>
    <col min="3841" max="3841" width="9.375" style="92" customWidth="1"/>
    <col min="3842" max="3847" width="10.125" style="92" customWidth="1"/>
    <col min="3848" max="4096" width="9" style="92"/>
    <col min="4097" max="4097" width="9.375" style="92" customWidth="1"/>
    <col min="4098" max="4103" width="10.125" style="92" customWidth="1"/>
    <col min="4104" max="4352" width="9" style="92"/>
    <col min="4353" max="4353" width="9.375" style="92" customWidth="1"/>
    <col min="4354" max="4359" width="10.125" style="92" customWidth="1"/>
    <col min="4360" max="4608" width="9" style="92"/>
    <col min="4609" max="4609" width="9.375" style="92" customWidth="1"/>
    <col min="4610" max="4615" width="10.125" style="92" customWidth="1"/>
    <col min="4616" max="4864" width="9" style="92"/>
    <col min="4865" max="4865" width="9.375" style="92" customWidth="1"/>
    <col min="4866" max="4871" width="10.125" style="92" customWidth="1"/>
    <col min="4872" max="5120" width="9" style="92"/>
    <col min="5121" max="5121" width="9.375" style="92" customWidth="1"/>
    <col min="5122" max="5127" width="10.125" style="92" customWidth="1"/>
    <col min="5128" max="5376" width="9" style="92"/>
    <col min="5377" max="5377" width="9.375" style="92" customWidth="1"/>
    <col min="5378" max="5383" width="10.125" style="92" customWidth="1"/>
    <col min="5384" max="5632" width="9" style="92"/>
    <col min="5633" max="5633" width="9.375" style="92" customWidth="1"/>
    <col min="5634" max="5639" width="10.125" style="92" customWidth="1"/>
    <col min="5640" max="5888" width="9" style="92"/>
    <col min="5889" max="5889" width="9.375" style="92" customWidth="1"/>
    <col min="5890" max="5895" width="10.125" style="92" customWidth="1"/>
    <col min="5896" max="6144" width="9" style="92"/>
    <col min="6145" max="6145" width="9.375" style="92" customWidth="1"/>
    <col min="6146" max="6151" width="10.125" style="92" customWidth="1"/>
    <col min="6152" max="6400" width="9" style="92"/>
    <col min="6401" max="6401" width="9.375" style="92" customWidth="1"/>
    <col min="6402" max="6407" width="10.125" style="92" customWidth="1"/>
    <col min="6408" max="6656" width="9" style="92"/>
    <col min="6657" max="6657" width="9.375" style="92" customWidth="1"/>
    <col min="6658" max="6663" width="10.125" style="92" customWidth="1"/>
    <col min="6664" max="6912" width="9" style="92"/>
    <col min="6913" max="6913" width="9.375" style="92" customWidth="1"/>
    <col min="6914" max="6919" width="10.125" style="92" customWidth="1"/>
    <col min="6920" max="7168" width="9" style="92"/>
    <col min="7169" max="7169" width="9.375" style="92" customWidth="1"/>
    <col min="7170" max="7175" width="10.125" style="92" customWidth="1"/>
    <col min="7176" max="7424" width="9" style="92"/>
    <col min="7425" max="7425" width="9.375" style="92" customWidth="1"/>
    <col min="7426" max="7431" width="10.125" style="92" customWidth="1"/>
    <col min="7432" max="7680" width="9" style="92"/>
    <col min="7681" max="7681" width="9.375" style="92" customWidth="1"/>
    <col min="7682" max="7687" width="10.125" style="92" customWidth="1"/>
    <col min="7688" max="7936" width="9" style="92"/>
    <col min="7937" max="7937" width="9.375" style="92" customWidth="1"/>
    <col min="7938" max="7943" width="10.125" style="92" customWidth="1"/>
    <col min="7944" max="8192" width="9" style="92"/>
    <col min="8193" max="8193" width="9.375" style="92" customWidth="1"/>
    <col min="8194" max="8199" width="10.125" style="92" customWidth="1"/>
    <col min="8200" max="8448" width="9" style="92"/>
    <col min="8449" max="8449" width="9.375" style="92" customWidth="1"/>
    <col min="8450" max="8455" width="10.125" style="92" customWidth="1"/>
    <col min="8456" max="8704" width="9" style="92"/>
    <col min="8705" max="8705" width="9.375" style="92" customWidth="1"/>
    <col min="8706" max="8711" width="10.125" style="92" customWidth="1"/>
    <col min="8712" max="8960" width="9" style="92"/>
    <col min="8961" max="8961" width="9.375" style="92" customWidth="1"/>
    <col min="8962" max="8967" width="10.125" style="92" customWidth="1"/>
    <col min="8968" max="9216" width="9" style="92"/>
    <col min="9217" max="9217" width="9.375" style="92" customWidth="1"/>
    <col min="9218" max="9223" width="10.125" style="92" customWidth="1"/>
    <col min="9224" max="9472" width="9" style="92"/>
    <col min="9473" max="9473" width="9.375" style="92" customWidth="1"/>
    <col min="9474" max="9479" width="10.125" style="92" customWidth="1"/>
    <col min="9480" max="9728" width="9" style="92"/>
    <col min="9729" max="9729" width="9.375" style="92" customWidth="1"/>
    <col min="9730" max="9735" width="10.125" style="92" customWidth="1"/>
    <col min="9736" max="9984" width="9" style="92"/>
    <col min="9985" max="9985" width="9.375" style="92" customWidth="1"/>
    <col min="9986" max="9991" width="10.125" style="92" customWidth="1"/>
    <col min="9992" max="10240" width="9" style="92"/>
    <col min="10241" max="10241" width="9.375" style="92" customWidth="1"/>
    <col min="10242" max="10247" width="10.125" style="92" customWidth="1"/>
    <col min="10248" max="10496" width="9" style="92"/>
    <col min="10497" max="10497" width="9.375" style="92" customWidth="1"/>
    <col min="10498" max="10503" width="10.125" style="92" customWidth="1"/>
    <col min="10504" max="10752" width="9" style="92"/>
    <col min="10753" max="10753" width="9.375" style="92" customWidth="1"/>
    <col min="10754" max="10759" width="10.125" style="92" customWidth="1"/>
    <col min="10760" max="11008" width="9" style="92"/>
    <col min="11009" max="11009" width="9.375" style="92" customWidth="1"/>
    <col min="11010" max="11015" width="10.125" style="92" customWidth="1"/>
    <col min="11016" max="11264" width="9" style="92"/>
    <col min="11265" max="11265" width="9.375" style="92" customWidth="1"/>
    <col min="11266" max="11271" width="10.125" style="92" customWidth="1"/>
    <col min="11272" max="11520" width="9" style="92"/>
    <col min="11521" max="11521" width="9.375" style="92" customWidth="1"/>
    <col min="11522" max="11527" width="10.125" style="92" customWidth="1"/>
    <col min="11528" max="11776" width="9" style="92"/>
    <col min="11777" max="11777" width="9.375" style="92" customWidth="1"/>
    <col min="11778" max="11783" width="10.125" style="92" customWidth="1"/>
    <col min="11784" max="12032" width="9" style="92"/>
    <col min="12033" max="12033" width="9.375" style="92" customWidth="1"/>
    <col min="12034" max="12039" width="10.125" style="92" customWidth="1"/>
    <col min="12040" max="12288" width="9" style="92"/>
    <col min="12289" max="12289" width="9.375" style="92" customWidth="1"/>
    <col min="12290" max="12295" width="10.125" style="92" customWidth="1"/>
    <col min="12296" max="12544" width="9" style="92"/>
    <col min="12545" max="12545" width="9.375" style="92" customWidth="1"/>
    <col min="12546" max="12551" width="10.125" style="92" customWidth="1"/>
    <col min="12552" max="12800" width="9" style="92"/>
    <col min="12801" max="12801" width="9.375" style="92" customWidth="1"/>
    <col min="12802" max="12807" width="10.125" style="92" customWidth="1"/>
    <col min="12808" max="13056" width="9" style="92"/>
    <col min="13057" max="13057" width="9.375" style="92" customWidth="1"/>
    <col min="13058" max="13063" width="10.125" style="92" customWidth="1"/>
    <col min="13064" max="13312" width="9" style="92"/>
    <col min="13313" max="13313" width="9.375" style="92" customWidth="1"/>
    <col min="13314" max="13319" width="10.125" style="92" customWidth="1"/>
    <col min="13320" max="13568" width="9" style="92"/>
    <col min="13569" max="13569" width="9.375" style="92" customWidth="1"/>
    <col min="13570" max="13575" width="10.125" style="92" customWidth="1"/>
    <col min="13576" max="13824" width="9" style="92"/>
    <col min="13825" max="13825" width="9.375" style="92" customWidth="1"/>
    <col min="13826" max="13831" width="10.125" style="92" customWidth="1"/>
    <col min="13832" max="14080" width="9" style="92"/>
    <col min="14081" max="14081" width="9.375" style="92" customWidth="1"/>
    <col min="14082" max="14087" width="10.125" style="92" customWidth="1"/>
    <col min="14088" max="14336" width="9" style="92"/>
    <col min="14337" max="14337" width="9.375" style="92" customWidth="1"/>
    <col min="14338" max="14343" width="10.125" style="92" customWidth="1"/>
    <col min="14344" max="14592" width="9" style="92"/>
    <col min="14593" max="14593" width="9.375" style="92" customWidth="1"/>
    <col min="14594" max="14599" width="10.125" style="92" customWidth="1"/>
    <col min="14600" max="14848" width="9" style="92"/>
    <col min="14849" max="14849" width="9.375" style="92" customWidth="1"/>
    <col min="14850" max="14855" width="10.125" style="92" customWidth="1"/>
    <col min="14856" max="15104" width="9" style="92"/>
    <col min="15105" max="15105" width="9.375" style="92" customWidth="1"/>
    <col min="15106" max="15111" width="10.125" style="92" customWidth="1"/>
    <col min="15112" max="15360" width="9" style="92"/>
    <col min="15361" max="15361" width="9.375" style="92" customWidth="1"/>
    <col min="15362" max="15367" width="10.125" style="92" customWidth="1"/>
    <col min="15368" max="15616" width="9" style="92"/>
    <col min="15617" max="15617" width="9.375" style="92" customWidth="1"/>
    <col min="15618" max="15623" width="10.125" style="92" customWidth="1"/>
    <col min="15624" max="15872" width="9" style="92"/>
    <col min="15873" max="15873" width="9.375" style="92" customWidth="1"/>
    <col min="15874" max="15879" width="10.125" style="92" customWidth="1"/>
    <col min="15880" max="16128" width="9" style="92"/>
    <col min="16129" max="16129" width="9.375" style="92" customWidth="1"/>
    <col min="16130" max="16135" width="10.125" style="92" customWidth="1"/>
    <col min="16136" max="16384" width="9" style="92"/>
  </cols>
  <sheetData>
    <row r="1" spans="1:7" ht="18" customHeight="1">
      <c r="A1" s="420" t="s">
        <v>71</v>
      </c>
      <c r="B1" s="420"/>
      <c r="C1" s="420"/>
      <c r="D1" s="420"/>
      <c r="E1" s="420"/>
      <c r="F1" s="420"/>
      <c r="G1" s="420"/>
    </row>
    <row r="3" spans="1:7" ht="18" customHeight="1">
      <c r="A3" s="421" t="s">
        <v>72</v>
      </c>
      <c r="B3" s="424" t="s">
        <v>73</v>
      </c>
      <c r="C3" s="424"/>
      <c r="D3" s="424" t="s">
        <v>74</v>
      </c>
      <c r="E3" s="424"/>
      <c r="F3" s="424"/>
      <c r="G3" s="424"/>
    </row>
    <row r="4" spans="1:7" ht="18" customHeight="1">
      <c r="A4" s="422"/>
      <c r="B4" s="424"/>
      <c r="C4" s="424"/>
      <c r="D4" s="424" t="s">
        <v>75</v>
      </c>
      <c r="E4" s="424"/>
      <c r="F4" s="424" t="s">
        <v>76</v>
      </c>
      <c r="G4" s="424"/>
    </row>
    <row r="5" spans="1:7" ht="25.5">
      <c r="A5" s="422"/>
      <c r="B5" s="93" t="s">
        <v>77</v>
      </c>
      <c r="C5" s="93" t="s">
        <v>78</v>
      </c>
      <c r="D5" s="93" t="s">
        <v>77</v>
      </c>
      <c r="E5" s="93" t="s">
        <v>78</v>
      </c>
      <c r="F5" s="93" t="s">
        <v>77</v>
      </c>
      <c r="G5" s="93" t="s">
        <v>78</v>
      </c>
    </row>
    <row r="6" spans="1:7" ht="18" customHeight="1">
      <c r="A6" s="423"/>
      <c r="B6" s="93" t="s">
        <v>79</v>
      </c>
      <c r="C6" s="93" t="s">
        <v>80</v>
      </c>
      <c r="D6" s="93" t="s">
        <v>79</v>
      </c>
      <c r="E6" s="93" t="s">
        <v>80</v>
      </c>
      <c r="F6" s="93" t="s">
        <v>79</v>
      </c>
      <c r="G6" s="93" t="s">
        <v>80</v>
      </c>
    </row>
    <row r="7" spans="1:7" s="96" customFormat="1" ht="18" customHeight="1">
      <c r="A7" s="94" t="s">
        <v>81</v>
      </c>
      <c r="B7" s="95">
        <v>9543</v>
      </c>
      <c r="C7" s="97">
        <v>2.2000000000000002</v>
      </c>
      <c r="D7" s="95">
        <v>9673</v>
      </c>
      <c r="E7" s="111">
        <v>2.2000000000000002</v>
      </c>
      <c r="F7" s="95">
        <v>9673</v>
      </c>
      <c r="G7" s="111">
        <v>2.2000000000000002</v>
      </c>
    </row>
    <row r="8" spans="1:7" s="96" customFormat="1" ht="18" customHeight="1">
      <c r="A8" s="94" t="s">
        <v>82</v>
      </c>
      <c r="B8" s="95">
        <v>9334</v>
      </c>
      <c r="C8" s="97">
        <v>2.2999999999999998</v>
      </c>
      <c r="D8" s="95">
        <v>9464</v>
      </c>
      <c r="E8" s="98">
        <v>2.2000000000000002</v>
      </c>
      <c r="F8" s="95">
        <v>9464</v>
      </c>
      <c r="G8" s="98">
        <v>2.2000000000000002</v>
      </c>
    </row>
    <row r="9" spans="1:7" s="96" customFormat="1" ht="18" customHeight="1">
      <c r="A9" s="94" t="s">
        <v>83</v>
      </c>
      <c r="B9" s="95">
        <v>9123</v>
      </c>
      <c r="C9" s="97">
        <v>1.9</v>
      </c>
      <c r="D9" s="95">
        <v>9260</v>
      </c>
      <c r="E9" s="98">
        <v>1.9</v>
      </c>
      <c r="F9" s="95">
        <v>9260</v>
      </c>
      <c r="G9" s="98">
        <v>1.9</v>
      </c>
    </row>
    <row r="10" spans="1:7" s="96" customFormat="1" ht="18" customHeight="1">
      <c r="A10" s="94" t="s">
        <v>84</v>
      </c>
      <c r="B10" s="95">
        <v>8955</v>
      </c>
      <c r="C10" s="97">
        <v>2.6</v>
      </c>
      <c r="D10" s="95">
        <v>9089</v>
      </c>
      <c r="E10" s="98">
        <v>3</v>
      </c>
      <c r="F10" s="95">
        <v>9089</v>
      </c>
      <c r="G10" s="98">
        <v>3</v>
      </c>
    </row>
    <row r="11" spans="1:7" s="96" customFormat="1" ht="18" customHeight="1">
      <c r="A11" s="94" t="s">
        <v>85</v>
      </c>
      <c r="B11" s="95">
        <v>8724</v>
      </c>
      <c r="C11" s="97">
        <v>0.6</v>
      </c>
      <c r="D11" s="95">
        <v>8828</v>
      </c>
      <c r="E11" s="98">
        <v>1.1000000000000001</v>
      </c>
      <c r="F11" s="95">
        <v>8828</v>
      </c>
      <c r="G11" s="98">
        <v>1.1000000000000001</v>
      </c>
    </row>
    <row r="12" spans="1:7" s="96" customFormat="1" ht="18" customHeight="1">
      <c r="A12" s="94" t="s">
        <v>86</v>
      </c>
      <c r="B12" s="95">
        <v>8503</v>
      </c>
      <c r="C12" s="97">
        <v>3.8</v>
      </c>
      <c r="D12" s="95">
        <v>8619</v>
      </c>
      <c r="E12" s="98">
        <v>3.8</v>
      </c>
      <c r="F12" s="95">
        <v>8619</v>
      </c>
      <c r="G12" s="98">
        <v>3.8</v>
      </c>
    </row>
    <row r="13" spans="1:7" s="96" customFormat="1" ht="18" customHeight="1">
      <c r="A13" s="94" t="s">
        <v>87</v>
      </c>
      <c r="B13" s="95">
        <v>8190</v>
      </c>
      <c r="C13" s="97">
        <v>3.9</v>
      </c>
      <c r="D13" s="95">
        <v>8307</v>
      </c>
      <c r="E13" s="98">
        <v>3.6</v>
      </c>
      <c r="F13" s="95">
        <v>8307</v>
      </c>
      <c r="G13" s="98">
        <v>3.6</v>
      </c>
    </row>
    <row r="14" spans="1:7" s="96" customFormat="1" ht="18" customHeight="1">
      <c r="A14" s="94" t="s">
        <v>88</v>
      </c>
      <c r="B14" s="95">
        <v>7884</v>
      </c>
      <c r="C14" s="97">
        <v>0.6</v>
      </c>
      <c r="D14" s="95">
        <v>8015</v>
      </c>
      <c r="E14" s="98">
        <v>1.1000000000000001</v>
      </c>
      <c r="F14" s="95">
        <v>8015</v>
      </c>
      <c r="G14" s="98">
        <v>1.1000000000000001</v>
      </c>
    </row>
    <row r="15" spans="1:7" s="96" customFormat="1" ht="18" customHeight="1">
      <c r="A15" s="94" t="s">
        <v>89</v>
      </c>
      <c r="B15" s="95">
        <v>7836</v>
      </c>
      <c r="C15" s="97">
        <v>3.3</v>
      </c>
      <c r="D15" s="95">
        <v>7928</v>
      </c>
      <c r="E15" s="98">
        <v>3.5</v>
      </c>
      <c r="F15" s="95">
        <v>7928</v>
      </c>
      <c r="G15" s="98">
        <v>3.5</v>
      </c>
    </row>
    <row r="16" spans="1:7" s="96" customFormat="1" ht="18" customHeight="1">
      <c r="A16" s="94" t="s">
        <v>90</v>
      </c>
      <c r="B16" s="95">
        <v>7583</v>
      </c>
      <c r="C16" s="97">
        <v>2.9</v>
      </c>
      <c r="D16" s="95">
        <v>7663</v>
      </c>
      <c r="E16" s="98">
        <v>1.7</v>
      </c>
      <c r="F16" s="95">
        <v>7663</v>
      </c>
      <c r="G16" s="98">
        <v>1.7</v>
      </c>
    </row>
    <row r="17" spans="1:7" s="96" customFormat="1" ht="18" customHeight="1">
      <c r="A17" s="94" t="s">
        <v>91</v>
      </c>
      <c r="B17" s="95">
        <v>7445</v>
      </c>
      <c r="C17" s="97">
        <v>2.2999999999999998</v>
      </c>
      <c r="D17" s="95">
        <v>7537</v>
      </c>
      <c r="E17" s="98">
        <v>2.1</v>
      </c>
      <c r="F17" s="95">
        <v>7537</v>
      </c>
      <c r="G17" s="98">
        <v>2.1</v>
      </c>
    </row>
    <row r="18" spans="1:7" s="96" customFormat="1" ht="18" customHeight="1">
      <c r="A18" s="94" t="s">
        <v>92</v>
      </c>
      <c r="B18" s="95">
        <v>7277</v>
      </c>
      <c r="C18" s="97">
        <v>5.8</v>
      </c>
      <c r="D18" s="95">
        <v>7383</v>
      </c>
      <c r="E18" s="98">
        <v>6</v>
      </c>
      <c r="F18" s="95">
        <v>7383</v>
      </c>
      <c r="G18" s="98">
        <v>6</v>
      </c>
    </row>
    <row r="19" spans="1:7" s="96" customFormat="1" ht="18" customHeight="1">
      <c r="A19" s="94" t="s">
        <v>93</v>
      </c>
      <c r="B19" s="95">
        <v>6877</v>
      </c>
      <c r="C19" s="99" t="s">
        <v>94</v>
      </c>
      <c r="D19" s="95">
        <v>6964</v>
      </c>
      <c r="E19" s="100" t="s">
        <v>94</v>
      </c>
      <c r="F19" s="95">
        <v>6964</v>
      </c>
      <c r="G19" s="100" t="s">
        <v>94</v>
      </c>
    </row>
    <row r="20" spans="1:7" s="96" customFormat="1" ht="18" customHeight="1">
      <c r="A20" s="94" t="s">
        <v>95</v>
      </c>
      <c r="B20" s="95">
        <v>6877</v>
      </c>
      <c r="C20" s="99" t="s">
        <v>94</v>
      </c>
      <c r="D20" s="95">
        <v>6964</v>
      </c>
      <c r="E20" s="100" t="s">
        <v>94</v>
      </c>
      <c r="F20" s="95">
        <v>6964</v>
      </c>
      <c r="G20" s="100" t="s">
        <v>94</v>
      </c>
    </row>
    <row r="21" spans="1:7" s="96" customFormat="1" ht="18" customHeight="1">
      <c r="A21" s="94" t="s">
        <v>96</v>
      </c>
      <c r="B21" s="95">
        <v>6877</v>
      </c>
      <c r="C21" s="101">
        <v>-1.6</v>
      </c>
      <c r="D21" s="95">
        <v>6964</v>
      </c>
      <c r="E21" s="102">
        <v>-1.2</v>
      </c>
      <c r="F21" s="95">
        <v>7050</v>
      </c>
      <c r="G21" s="102">
        <v>-1.2</v>
      </c>
    </row>
    <row r="22" spans="1:7" s="96" customFormat="1" ht="18" customHeight="1">
      <c r="A22" s="94" t="s">
        <v>97</v>
      </c>
      <c r="B22" s="95">
        <v>6988</v>
      </c>
      <c r="C22" s="97">
        <v>1.6</v>
      </c>
      <c r="D22" s="95">
        <v>7050</v>
      </c>
      <c r="E22" s="98">
        <v>1.2</v>
      </c>
      <c r="F22" s="95">
        <v>7050</v>
      </c>
      <c r="G22" s="98">
        <v>1.2</v>
      </c>
    </row>
    <row r="23" spans="1:7" s="96" customFormat="1" ht="18" customHeight="1">
      <c r="A23" s="94" t="s">
        <v>98</v>
      </c>
      <c r="B23" s="95">
        <v>6877</v>
      </c>
      <c r="C23" s="97">
        <v>10.199999999999999</v>
      </c>
      <c r="D23" s="95">
        <v>6964</v>
      </c>
      <c r="E23" s="98">
        <v>9.6999999999999993</v>
      </c>
      <c r="F23" s="95">
        <v>6964</v>
      </c>
      <c r="G23" s="98">
        <v>9.6999999999999993</v>
      </c>
    </row>
    <row r="24" spans="1:7" s="96" customFormat="1" ht="18" customHeight="1">
      <c r="A24" s="94" t="s">
        <v>99</v>
      </c>
      <c r="B24" s="95">
        <v>6242</v>
      </c>
      <c r="C24" s="97">
        <v>6</v>
      </c>
      <c r="D24" s="95">
        <v>6347</v>
      </c>
      <c r="E24" s="97">
        <v>6.1</v>
      </c>
      <c r="F24" s="95">
        <v>6347</v>
      </c>
      <c r="G24" s="97">
        <v>6.1</v>
      </c>
    </row>
    <row r="25" spans="1:7" s="96" customFormat="1" ht="18" customHeight="1">
      <c r="A25" s="94" t="s">
        <v>100</v>
      </c>
      <c r="B25" s="95">
        <v>5890</v>
      </c>
      <c r="C25" s="97">
        <v>1.7</v>
      </c>
      <c r="D25" s="95">
        <v>5981</v>
      </c>
      <c r="E25" s="97">
        <v>1.4</v>
      </c>
      <c r="F25" s="95">
        <v>5981</v>
      </c>
      <c r="G25" s="97">
        <v>1.4</v>
      </c>
    </row>
    <row r="26" spans="1:7" s="96" customFormat="1" ht="18" customHeight="1">
      <c r="A26" s="94" t="s">
        <v>101</v>
      </c>
      <c r="B26" s="95">
        <v>5792</v>
      </c>
      <c r="C26" s="99" t="s">
        <v>94</v>
      </c>
      <c r="D26" s="95">
        <v>5899</v>
      </c>
      <c r="E26" s="99" t="s">
        <v>94</v>
      </c>
      <c r="F26" s="95">
        <v>5899</v>
      </c>
      <c r="G26" s="97">
        <v>5.2</v>
      </c>
    </row>
    <row r="27" spans="1:7" s="96" customFormat="1" ht="18" customHeight="1">
      <c r="A27" s="94" t="s">
        <v>102</v>
      </c>
      <c r="B27" s="95">
        <v>5792</v>
      </c>
      <c r="C27" s="97">
        <v>5.4</v>
      </c>
      <c r="D27" s="95">
        <v>5899</v>
      </c>
      <c r="E27" s="97">
        <v>5.2</v>
      </c>
      <c r="F27" s="95">
        <v>5605</v>
      </c>
      <c r="G27" s="99" t="s">
        <v>94</v>
      </c>
    </row>
    <row r="28" spans="1:7" s="96" customFormat="1" ht="18" customHeight="1">
      <c r="A28" s="94" t="s">
        <v>103</v>
      </c>
      <c r="B28" s="95">
        <v>5493</v>
      </c>
      <c r="C28" s="97">
        <v>3.2</v>
      </c>
      <c r="D28" s="95">
        <v>5605</v>
      </c>
      <c r="E28" s="97">
        <v>3.5</v>
      </c>
      <c r="F28" s="95">
        <v>5605</v>
      </c>
      <c r="G28" s="97">
        <v>3.5</v>
      </c>
    </row>
    <row r="29" spans="1:7" s="96" customFormat="1" ht="18" customHeight="1">
      <c r="A29" s="94" t="s">
        <v>104</v>
      </c>
      <c r="B29" s="95">
        <v>5324</v>
      </c>
      <c r="C29" s="99" t="s">
        <v>94</v>
      </c>
      <c r="D29" s="95">
        <v>5418</v>
      </c>
      <c r="E29" s="99" t="s">
        <v>94</v>
      </c>
      <c r="F29" s="95">
        <v>5418</v>
      </c>
      <c r="G29" s="97">
        <v>7.9</v>
      </c>
    </row>
    <row r="30" spans="1:7" s="96" customFormat="1" ht="18" customHeight="1">
      <c r="A30" s="94" t="s">
        <v>105</v>
      </c>
      <c r="B30" s="95">
        <v>5324</v>
      </c>
      <c r="C30" s="97">
        <v>7.7</v>
      </c>
      <c r="D30" s="95">
        <v>5418</v>
      </c>
      <c r="E30" s="97">
        <v>7.9</v>
      </c>
      <c r="F30" s="95">
        <v>5023</v>
      </c>
      <c r="G30" s="99" t="s">
        <v>94</v>
      </c>
    </row>
    <row r="31" spans="1:7" s="96" customFormat="1" ht="18" customHeight="1">
      <c r="A31" s="94" t="s">
        <v>106</v>
      </c>
      <c r="B31" s="95">
        <v>4945</v>
      </c>
      <c r="C31" s="99" t="s">
        <v>94</v>
      </c>
      <c r="D31" s="95">
        <v>5023</v>
      </c>
      <c r="E31" s="99" t="s">
        <v>94</v>
      </c>
      <c r="F31" s="95">
        <v>5023</v>
      </c>
      <c r="G31" s="101">
        <v>-0.4</v>
      </c>
    </row>
    <row r="32" spans="1:7" s="96" customFormat="1" ht="18" customHeight="1">
      <c r="A32" s="94" t="s">
        <v>107</v>
      </c>
      <c r="B32" s="95">
        <v>4945</v>
      </c>
      <c r="C32" s="101">
        <v>-0.4</v>
      </c>
      <c r="D32" s="95">
        <v>5023</v>
      </c>
      <c r="E32" s="101">
        <v>-0.4</v>
      </c>
      <c r="F32" s="95">
        <v>5023</v>
      </c>
      <c r="G32" s="101">
        <v>-0.4</v>
      </c>
    </row>
    <row r="33" spans="1:7" s="96" customFormat="1" ht="18" customHeight="1">
      <c r="A33" s="94" t="s">
        <v>108</v>
      </c>
      <c r="B33" s="95">
        <v>4966</v>
      </c>
      <c r="C33" s="97">
        <v>3.4</v>
      </c>
      <c r="D33" s="95">
        <v>5044</v>
      </c>
      <c r="E33" s="97">
        <v>3.2</v>
      </c>
      <c r="F33" s="95">
        <v>5044</v>
      </c>
      <c r="G33" s="97">
        <v>3.2</v>
      </c>
    </row>
    <row r="34" spans="1:7" s="96" customFormat="1" ht="18" customHeight="1">
      <c r="A34" s="94" t="s">
        <v>109</v>
      </c>
      <c r="B34" s="95">
        <v>4804</v>
      </c>
      <c r="C34" s="99" t="s">
        <v>94</v>
      </c>
      <c r="D34" s="95">
        <v>4887</v>
      </c>
      <c r="E34" s="99" t="s">
        <v>94</v>
      </c>
      <c r="F34" s="95">
        <v>4887</v>
      </c>
      <c r="G34" s="97">
        <v>6.9</v>
      </c>
    </row>
    <row r="35" spans="1:7" s="96" customFormat="1" ht="18" customHeight="1">
      <c r="A35" s="94" t="s">
        <v>110</v>
      </c>
      <c r="B35" s="95">
        <v>4804</v>
      </c>
      <c r="C35" s="97">
        <v>7</v>
      </c>
      <c r="D35" s="95">
        <v>4887</v>
      </c>
      <c r="E35" s="97">
        <v>6.9</v>
      </c>
      <c r="F35" s="95">
        <v>4573</v>
      </c>
      <c r="G35" s="99" t="s">
        <v>94</v>
      </c>
    </row>
    <row r="36" spans="1:7" s="96" customFormat="1" ht="18" customHeight="1">
      <c r="A36" s="94" t="s">
        <v>111</v>
      </c>
      <c r="B36" s="95">
        <v>4490</v>
      </c>
      <c r="C36" s="99" t="s">
        <v>94</v>
      </c>
      <c r="D36" s="95">
        <v>4573</v>
      </c>
      <c r="E36" s="99" t="s">
        <v>94</v>
      </c>
      <c r="F36" s="95">
        <v>4573</v>
      </c>
      <c r="G36" s="97">
        <v>2.9</v>
      </c>
    </row>
    <row r="37" spans="1:7" s="96" customFormat="1" ht="18" customHeight="1">
      <c r="A37" s="94" t="s">
        <v>112</v>
      </c>
      <c r="B37" s="95">
        <v>4490</v>
      </c>
      <c r="C37" s="97">
        <v>0.9</v>
      </c>
      <c r="D37" s="95">
        <v>4573</v>
      </c>
      <c r="E37" s="97">
        <v>2.9</v>
      </c>
      <c r="F37" s="95">
        <v>4443</v>
      </c>
      <c r="G37" s="99" t="s">
        <v>94</v>
      </c>
    </row>
    <row r="38" spans="1:7" s="96" customFormat="1" ht="18" customHeight="1">
      <c r="A38" s="94" t="s">
        <v>113</v>
      </c>
      <c r="B38" s="95">
        <v>4450</v>
      </c>
      <c r="C38" s="97">
        <v>5.4</v>
      </c>
      <c r="D38" s="95">
        <v>4443</v>
      </c>
      <c r="E38" s="97">
        <v>5.6</v>
      </c>
      <c r="F38" s="95">
        <v>4443</v>
      </c>
      <c r="G38" s="97">
        <v>5.6</v>
      </c>
    </row>
    <row r="39" spans="1:7" s="96" customFormat="1" ht="18" customHeight="1">
      <c r="A39" s="94" t="s">
        <v>114</v>
      </c>
      <c r="B39" s="95">
        <v>4223</v>
      </c>
      <c r="C39" s="99" t="s">
        <v>94</v>
      </c>
      <c r="D39" s="95">
        <v>4207</v>
      </c>
      <c r="E39" s="99" t="s">
        <v>94</v>
      </c>
      <c r="F39" s="95">
        <v>4207</v>
      </c>
      <c r="G39" s="97">
        <v>0.7</v>
      </c>
    </row>
    <row r="40" spans="1:7" s="96" customFormat="1" ht="18" customHeight="1">
      <c r="A40" s="94" t="s">
        <v>115</v>
      </c>
      <c r="B40" s="95">
        <v>4223</v>
      </c>
      <c r="C40" s="97">
        <v>3.3</v>
      </c>
      <c r="D40" s="95">
        <v>4207</v>
      </c>
      <c r="E40" s="97">
        <v>0.7</v>
      </c>
      <c r="F40" s="95">
        <v>4207</v>
      </c>
      <c r="G40" s="97">
        <v>0.7</v>
      </c>
    </row>
    <row r="41" spans="1:7" s="96" customFormat="1" ht="18" customHeight="1">
      <c r="A41" s="94" t="s">
        <v>116</v>
      </c>
      <c r="B41" s="95">
        <v>4089</v>
      </c>
      <c r="C41" s="99" t="s">
        <v>94</v>
      </c>
      <c r="D41" s="95">
        <v>4178</v>
      </c>
      <c r="E41" s="99" t="s">
        <v>94</v>
      </c>
      <c r="F41" s="95">
        <v>4178</v>
      </c>
      <c r="G41" s="97">
        <v>2.2999999999999998</v>
      </c>
    </row>
    <row r="42" spans="1:7" s="96" customFormat="1" ht="18" customHeight="1">
      <c r="A42" s="94" t="s">
        <v>117</v>
      </c>
      <c r="B42" s="95">
        <v>4089</v>
      </c>
      <c r="C42" s="97">
        <v>2.2999999999999998</v>
      </c>
      <c r="D42" s="95">
        <v>4178</v>
      </c>
      <c r="E42" s="97">
        <v>2.2999999999999998</v>
      </c>
      <c r="F42" s="95">
        <v>4083</v>
      </c>
      <c r="G42" s="99" t="s">
        <v>94</v>
      </c>
    </row>
    <row r="43" spans="1:7" s="96" customFormat="1" ht="18" customHeight="1">
      <c r="A43" s="94" t="s">
        <v>118</v>
      </c>
      <c r="B43" s="95">
        <v>3996</v>
      </c>
      <c r="C43" s="97">
        <v>3.6</v>
      </c>
      <c r="D43" s="95">
        <v>4083</v>
      </c>
      <c r="E43" s="97">
        <v>4.0999999999999996</v>
      </c>
      <c r="F43" s="95">
        <v>4083</v>
      </c>
      <c r="G43" s="97">
        <v>4.0999999999999996</v>
      </c>
    </row>
    <row r="44" spans="1:7" s="96" customFormat="1" ht="18" customHeight="1">
      <c r="A44" s="94" t="s">
        <v>119</v>
      </c>
      <c r="B44" s="95">
        <v>3856</v>
      </c>
      <c r="C44" s="99" t="s">
        <v>94</v>
      </c>
      <c r="D44" s="95">
        <v>3921</v>
      </c>
      <c r="E44" s="99" t="s">
        <v>94</v>
      </c>
      <c r="F44" s="95">
        <v>3921</v>
      </c>
      <c r="G44" s="97">
        <v>10.6</v>
      </c>
    </row>
    <row r="45" spans="1:7" s="96" customFormat="1" ht="18" customHeight="1">
      <c r="A45" s="94" t="s">
        <v>120</v>
      </c>
      <c r="B45" s="95">
        <v>3856</v>
      </c>
      <c r="C45" s="97">
        <v>10.8</v>
      </c>
      <c r="D45" s="95">
        <v>3921</v>
      </c>
      <c r="E45" s="97">
        <v>10.6</v>
      </c>
      <c r="F45" s="95">
        <v>3544</v>
      </c>
      <c r="G45" s="99" t="s">
        <v>94</v>
      </c>
    </row>
    <row r="46" spans="1:7" s="96" customFormat="1" ht="18" customHeight="1">
      <c r="A46" s="94" t="s">
        <v>121</v>
      </c>
      <c r="B46" s="95">
        <v>3481</v>
      </c>
      <c r="C46" s="99" t="s">
        <v>94</v>
      </c>
      <c r="D46" s="95">
        <v>3544</v>
      </c>
      <c r="E46" s="99" t="s">
        <v>94</v>
      </c>
      <c r="F46" s="95">
        <v>3544</v>
      </c>
      <c r="G46" s="97">
        <v>2.6</v>
      </c>
    </row>
    <row r="47" spans="1:7" s="96" customFormat="1" ht="18" customHeight="1">
      <c r="A47" s="94" t="s">
        <v>122</v>
      </c>
      <c r="B47" s="95">
        <v>3481</v>
      </c>
      <c r="C47" s="97">
        <v>2.6</v>
      </c>
      <c r="D47" s="95">
        <v>3544</v>
      </c>
      <c r="E47" s="97">
        <v>2.6</v>
      </c>
      <c r="F47" s="95">
        <v>3453</v>
      </c>
      <c r="G47" s="99" t="s">
        <v>94</v>
      </c>
    </row>
    <row r="48" spans="1:7" s="96" customFormat="1" ht="18" customHeight="1">
      <c r="A48" s="94" t="s">
        <v>123</v>
      </c>
      <c r="B48" s="95">
        <v>3392</v>
      </c>
      <c r="C48" s="97">
        <v>3</v>
      </c>
      <c r="D48" s="95">
        <v>3453</v>
      </c>
      <c r="E48" s="97">
        <v>2.7</v>
      </c>
      <c r="F48" s="95">
        <v>3453</v>
      </c>
      <c r="G48" s="97">
        <v>2.7</v>
      </c>
    </row>
    <row r="49" spans="1:7" s="96" customFormat="1" ht="18" customHeight="1">
      <c r="A49" s="94" t="s">
        <v>124</v>
      </c>
      <c r="B49" s="95">
        <v>3294</v>
      </c>
      <c r="C49" s="99" t="s">
        <v>94</v>
      </c>
      <c r="D49" s="95">
        <v>3363</v>
      </c>
      <c r="E49" s="99" t="s">
        <v>94</v>
      </c>
      <c r="F49" s="95">
        <v>3363</v>
      </c>
      <c r="G49" s="97">
        <v>4.8</v>
      </c>
    </row>
    <row r="50" spans="1:7" s="96" customFormat="1" ht="18" customHeight="1">
      <c r="A50" s="94" t="s">
        <v>125</v>
      </c>
      <c r="B50" s="95">
        <v>3294</v>
      </c>
      <c r="C50" s="97">
        <v>4.7</v>
      </c>
      <c r="D50" s="95">
        <v>3363</v>
      </c>
      <c r="E50" s="97">
        <v>4.8</v>
      </c>
      <c r="F50" s="95">
        <v>3210</v>
      </c>
      <c r="G50" s="99" t="s">
        <v>94</v>
      </c>
    </row>
    <row r="51" spans="1:7" s="96" customFormat="1" ht="18" customHeight="1">
      <c r="A51" s="94" t="s">
        <v>126</v>
      </c>
      <c r="B51" s="95">
        <v>3145</v>
      </c>
      <c r="C51" s="99" t="s">
        <v>94</v>
      </c>
      <c r="D51" s="95">
        <v>3210</v>
      </c>
      <c r="E51" s="99" t="s">
        <v>94</v>
      </c>
      <c r="F51" s="95">
        <v>3210</v>
      </c>
      <c r="G51" s="97">
        <v>2.6</v>
      </c>
    </row>
    <row r="52" spans="1:7" s="96" customFormat="1" ht="18" customHeight="1">
      <c r="A52" s="94" t="s">
        <v>127</v>
      </c>
      <c r="B52" s="95">
        <v>3145</v>
      </c>
      <c r="C52" s="97">
        <v>2.6</v>
      </c>
      <c r="D52" s="95">
        <v>3210</v>
      </c>
      <c r="E52" s="97">
        <v>2.6</v>
      </c>
      <c r="F52" s="95">
        <v>3210</v>
      </c>
      <c r="G52" s="99" t="s">
        <v>94</v>
      </c>
    </row>
    <row r="53" spans="1:7" s="96" customFormat="1" ht="18" customHeight="1">
      <c r="A53" s="94" t="s">
        <v>128</v>
      </c>
      <c r="B53" s="95">
        <v>3064</v>
      </c>
      <c r="C53" s="97">
        <v>4.3</v>
      </c>
      <c r="D53" s="95">
        <v>3128</v>
      </c>
      <c r="E53" s="97">
        <v>4.2</v>
      </c>
      <c r="F53" s="95">
        <v>3128</v>
      </c>
      <c r="G53" s="97">
        <v>4.2</v>
      </c>
    </row>
    <row r="54" spans="1:7" s="96" customFormat="1" ht="18" customHeight="1">
      <c r="A54" s="94" t="s">
        <v>129</v>
      </c>
      <c r="B54" s="95">
        <v>2937</v>
      </c>
      <c r="C54" s="99" t="s">
        <v>94</v>
      </c>
      <c r="D54" s="95">
        <v>3002</v>
      </c>
      <c r="E54" s="99" t="s">
        <v>94</v>
      </c>
      <c r="F54" s="95">
        <v>3002</v>
      </c>
      <c r="G54" s="97">
        <v>6.6</v>
      </c>
    </row>
    <row r="55" spans="1:7" s="96" customFormat="1" ht="18" customHeight="1">
      <c r="A55" s="94" t="s">
        <v>130</v>
      </c>
      <c r="B55" s="95">
        <v>2937</v>
      </c>
      <c r="C55" s="97">
        <v>6.5</v>
      </c>
      <c r="D55" s="95">
        <v>3002</v>
      </c>
      <c r="E55" s="97">
        <v>6.6</v>
      </c>
      <c r="F55" s="95">
        <v>2815</v>
      </c>
      <c r="G55" s="99" t="s">
        <v>94</v>
      </c>
    </row>
    <row r="56" spans="1:7" s="96" customFormat="1" ht="18" customHeight="1">
      <c r="A56" s="94" t="s">
        <v>131</v>
      </c>
      <c r="B56" s="95">
        <v>2758</v>
      </c>
      <c r="C56" s="99" t="s">
        <v>94</v>
      </c>
      <c r="D56" s="95">
        <v>2815</v>
      </c>
      <c r="E56" s="99" t="s">
        <v>94</v>
      </c>
      <c r="F56" s="95">
        <v>2815</v>
      </c>
      <c r="G56" s="97">
        <v>0.1</v>
      </c>
    </row>
    <row r="57" spans="1:7" s="96" customFormat="1" ht="18" customHeight="1">
      <c r="A57" s="94" t="s">
        <v>132</v>
      </c>
      <c r="B57" s="95">
        <v>2758</v>
      </c>
      <c r="C57" s="97">
        <v>0.1</v>
      </c>
      <c r="D57" s="95">
        <v>2815</v>
      </c>
      <c r="E57" s="97">
        <v>0.1</v>
      </c>
      <c r="F57" s="95">
        <v>2811</v>
      </c>
      <c r="G57" s="99" t="s">
        <v>94</v>
      </c>
    </row>
    <row r="58" spans="1:7" s="96" customFormat="1" ht="18" customHeight="1">
      <c r="A58" s="94" t="s">
        <v>133</v>
      </c>
      <c r="B58" s="95">
        <v>2754</v>
      </c>
      <c r="C58" s="97">
        <v>2</v>
      </c>
      <c r="D58" s="95">
        <v>2811</v>
      </c>
      <c r="E58" s="97">
        <v>2.1</v>
      </c>
      <c r="F58" s="95">
        <v>2811</v>
      </c>
      <c r="G58" s="97">
        <v>2.1</v>
      </c>
    </row>
    <row r="60" spans="1:7" s="103" customFormat="1" ht="18" customHeight="1">
      <c r="A60" s="425" t="s">
        <v>134</v>
      </c>
      <c r="B60" s="425"/>
      <c r="C60" s="425"/>
      <c r="D60" s="425"/>
      <c r="E60" s="425"/>
      <c r="F60" s="425"/>
      <c r="G60" s="425"/>
    </row>
    <row r="61" spans="1:7" s="96" customFormat="1" ht="18" customHeight="1">
      <c r="A61" s="421" t="s">
        <v>72</v>
      </c>
      <c r="B61" s="424" t="s">
        <v>73</v>
      </c>
      <c r="C61" s="424"/>
      <c r="D61" s="424" t="s">
        <v>135</v>
      </c>
      <c r="E61" s="424"/>
      <c r="F61" s="424"/>
      <c r="G61" s="424"/>
    </row>
    <row r="62" spans="1:7" s="96" customFormat="1" ht="18" customHeight="1">
      <c r="A62" s="422"/>
      <c r="B62" s="424"/>
      <c r="C62" s="424"/>
      <c r="D62" s="424" t="s">
        <v>75</v>
      </c>
      <c r="E62" s="424"/>
      <c r="F62" s="424" t="s">
        <v>76</v>
      </c>
      <c r="G62" s="424"/>
    </row>
    <row r="63" spans="1:7" s="96" customFormat="1" ht="25.5">
      <c r="A63" s="422"/>
      <c r="B63" s="93" t="s">
        <v>77</v>
      </c>
      <c r="C63" s="93" t="s">
        <v>78</v>
      </c>
      <c r="D63" s="93" t="s">
        <v>77</v>
      </c>
      <c r="E63" s="93" t="s">
        <v>78</v>
      </c>
      <c r="F63" s="93" t="s">
        <v>77</v>
      </c>
      <c r="G63" s="93" t="s">
        <v>78</v>
      </c>
    </row>
    <row r="64" spans="1:7" s="96" customFormat="1" ht="18" customHeight="1">
      <c r="A64" s="423"/>
      <c r="B64" s="93" t="s">
        <v>79</v>
      </c>
      <c r="C64" s="93" t="s">
        <v>80</v>
      </c>
      <c r="D64" s="93" t="s">
        <v>79</v>
      </c>
      <c r="E64" s="93" t="s">
        <v>80</v>
      </c>
      <c r="F64" s="93" t="s">
        <v>79</v>
      </c>
      <c r="G64" s="93" t="s">
        <v>80</v>
      </c>
    </row>
    <row r="65" spans="1:7" s="96" customFormat="1" ht="18" customHeight="1">
      <c r="A65" s="94" t="s">
        <v>136</v>
      </c>
      <c r="B65" s="95">
        <v>2698</v>
      </c>
      <c r="C65" s="99" t="s">
        <v>94</v>
      </c>
      <c r="D65" s="95">
        <v>2753</v>
      </c>
      <c r="E65" s="99" t="s">
        <v>94</v>
      </c>
      <c r="F65" s="95">
        <v>2753</v>
      </c>
      <c r="G65" s="97">
        <v>8.8000000000000007</v>
      </c>
    </row>
    <row r="66" spans="1:7" s="96" customFormat="1" ht="18" customHeight="1">
      <c r="A66" s="94" t="s">
        <v>137</v>
      </c>
      <c r="B66" s="95">
        <v>2698</v>
      </c>
      <c r="C66" s="97">
        <v>6.6</v>
      </c>
      <c r="D66" s="95">
        <v>2753</v>
      </c>
      <c r="E66" s="97">
        <v>8.8000000000000007</v>
      </c>
      <c r="F66" s="95">
        <v>2530</v>
      </c>
      <c r="G66" s="99" t="s">
        <v>94</v>
      </c>
    </row>
    <row r="67" spans="1:7" s="96" customFormat="1" ht="18" customHeight="1">
      <c r="A67" s="94" t="s">
        <v>138</v>
      </c>
      <c r="B67" s="95">
        <v>2530</v>
      </c>
      <c r="C67" s="99" t="s">
        <v>94</v>
      </c>
      <c r="D67" s="95">
        <v>2530</v>
      </c>
      <c r="E67" s="99" t="s">
        <v>94</v>
      </c>
      <c r="F67" s="95">
        <v>2530</v>
      </c>
      <c r="G67" s="97">
        <v>8.6</v>
      </c>
    </row>
    <row r="68" spans="1:7" s="96" customFormat="1" ht="18" customHeight="1">
      <c r="A68" s="94" t="s">
        <v>139</v>
      </c>
      <c r="B68" s="95">
        <v>2530</v>
      </c>
      <c r="C68" s="97">
        <v>8.5</v>
      </c>
      <c r="D68" s="95">
        <v>2530</v>
      </c>
      <c r="E68" s="97">
        <v>2.9</v>
      </c>
      <c r="F68" s="95">
        <v>2330</v>
      </c>
      <c r="G68" s="99" t="s">
        <v>94</v>
      </c>
    </row>
    <row r="69" spans="1:7" s="96" customFormat="1" ht="18" customHeight="1">
      <c r="A69" s="94" t="s">
        <v>140</v>
      </c>
      <c r="B69" s="95">
        <v>2330</v>
      </c>
      <c r="C69" s="101">
        <v>-5.2</v>
      </c>
      <c r="D69" s="95">
        <v>2330</v>
      </c>
      <c r="E69" s="97">
        <v>0</v>
      </c>
      <c r="F69" s="95">
        <v>2330</v>
      </c>
      <c r="G69" s="101">
        <v>-5.2</v>
      </c>
    </row>
    <row r="70" spans="1:7" s="96" customFormat="1" ht="18" customHeight="1">
      <c r="A70" s="94" t="s">
        <v>141</v>
      </c>
      <c r="B70" s="95">
        <v>2458</v>
      </c>
      <c r="C70" s="99" t="s">
        <v>94</v>
      </c>
      <c r="D70" s="95">
        <v>2458</v>
      </c>
      <c r="E70" s="99" t="s">
        <v>94</v>
      </c>
      <c r="F70" s="95">
        <v>2458</v>
      </c>
      <c r="G70" s="97">
        <v>12.2</v>
      </c>
    </row>
    <row r="71" spans="1:7" s="96" customFormat="1" ht="18" customHeight="1">
      <c r="A71" s="94" t="s">
        <v>142</v>
      </c>
      <c r="B71" s="95">
        <v>2458</v>
      </c>
      <c r="C71" s="97">
        <v>12.2</v>
      </c>
      <c r="D71" s="95">
        <v>2458</v>
      </c>
      <c r="E71" s="97">
        <v>12.2</v>
      </c>
      <c r="F71" s="95">
        <v>2191</v>
      </c>
      <c r="G71" s="99" t="s">
        <v>94</v>
      </c>
    </row>
    <row r="72" spans="1:7" s="96" customFormat="1" ht="18" customHeight="1">
      <c r="A72" s="94" t="s">
        <v>143</v>
      </c>
      <c r="B72" s="95">
        <v>2191</v>
      </c>
      <c r="C72" s="99" t="s">
        <v>94</v>
      </c>
      <c r="D72" s="95">
        <v>2191</v>
      </c>
      <c r="E72" s="99" t="s">
        <v>94</v>
      </c>
      <c r="F72" s="95">
        <v>2191</v>
      </c>
      <c r="G72" s="97">
        <v>3.7</v>
      </c>
    </row>
    <row r="73" spans="1:7" s="96" customFormat="1" ht="18" customHeight="1">
      <c r="A73" s="94" t="s">
        <v>144</v>
      </c>
      <c r="B73" s="95">
        <v>2191</v>
      </c>
      <c r="C73" s="97">
        <v>3.7</v>
      </c>
      <c r="D73" s="95">
        <v>2191</v>
      </c>
      <c r="E73" s="97">
        <v>2.5</v>
      </c>
      <c r="F73" s="95">
        <v>2113</v>
      </c>
      <c r="G73" s="99" t="s">
        <v>94</v>
      </c>
    </row>
    <row r="74" spans="1:7" s="96" customFormat="1" ht="18" customHeight="1">
      <c r="A74" s="94" t="s">
        <v>145</v>
      </c>
      <c r="B74" s="95">
        <v>2113</v>
      </c>
      <c r="C74" s="101">
        <v>-0.3</v>
      </c>
      <c r="D74" s="95">
        <v>2137</v>
      </c>
      <c r="E74" s="97">
        <v>0.9</v>
      </c>
      <c r="F74" s="95">
        <v>2113</v>
      </c>
      <c r="G74" s="101">
        <v>-0.3</v>
      </c>
    </row>
    <row r="75" spans="1:7" s="96" customFormat="1" ht="18" customHeight="1">
      <c r="A75" s="94" t="s">
        <v>146</v>
      </c>
      <c r="B75" s="95">
        <v>2119</v>
      </c>
      <c r="C75" s="99" t="s">
        <v>94</v>
      </c>
      <c r="D75" s="95">
        <v>2119</v>
      </c>
      <c r="E75" s="99" t="s">
        <v>94</v>
      </c>
      <c r="F75" s="95">
        <v>2119</v>
      </c>
      <c r="G75" s="97">
        <v>16.600000000000001</v>
      </c>
    </row>
    <row r="76" spans="1:7" s="96" customFormat="1" ht="18" customHeight="1">
      <c r="A76" s="94" t="s">
        <v>147</v>
      </c>
      <c r="B76" s="95">
        <v>2119</v>
      </c>
      <c r="C76" s="97">
        <v>9.6</v>
      </c>
      <c r="D76" s="95">
        <v>2119</v>
      </c>
      <c r="E76" s="97">
        <v>9.6</v>
      </c>
      <c r="F76" s="95">
        <v>1817</v>
      </c>
      <c r="G76" s="99" t="s">
        <v>94</v>
      </c>
    </row>
    <row r="77" spans="1:7" s="96" customFormat="1" ht="18" customHeight="1">
      <c r="A77" s="94" t="s">
        <v>148</v>
      </c>
      <c r="B77" s="95">
        <v>1933</v>
      </c>
      <c r="C77" s="97">
        <v>4.9000000000000004</v>
      </c>
      <c r="D77" s="95">
        <v>1933</v>
      </c>
      <c r="E77" s="97">
        <v>4.9000000000000004</v>
      </c>
      <c r="F77" s="95">
        <v>1817</v>
      </c>
      <c r="G77" s="99" t="s">
        <v>94</v>
      </c>
    </row>
    <row r="78" spans="1:7" s="96" customFormat="1" ht="18" customHeight="1">
      <c r="A78" s="94" t="s">
        <v>149</v>
      </c>
      <c r="B78" s="95">
        <v>1817</v>
      </c>
      <c r="C78" s="99" t="s">
        <v>94</v>
      </c>
      <c r="D78" s="95">
        <v>1843</v>
      </c>
      <c r="E78" s="99" t="s">
        <v>94</v>
      </c>
      <c r="F78" s="95">
        <v>1817</v>
      </c>
      <c r="G78" s="97">
        <v>6.2</v>
      </c>
    </row>
    <row r="79" spans="1:7" s="96" customFormat="1" ht="18" customHeight="1">
      <c r="A79" s="94" t="s">
        <v>150</v>
      </c>
      <c r="B79" s="95">
        <v>1817</v>
      </c>
      <c r="C79" s="97">
        <v>6.2</v>
      </c>
      <c r="D79" s="95">
        <v>1843</v>
      </c>
      <c r="E79" s="97">
        <v>4.5999999999999996</v>
      </c>
      <c r="F79" s="95">
        <v>1711</v>
      </c>
      <c r="G79" s="99" t="s">
        <v>94</v>
      </c>
    </row>
    <row r="80" spans="1:7" s="96" customFormat="1" ht="18" customHeight="1">
      <c r="A80" s="94" t="s">
        <v>151</v>
      </c>
      <c r="B80" s="95">
        <v>1711</v>
      </c>
      <c r="C80" s="101">
        <v>-5.9</v>
      </c>
      <c r="D80" s="95">
        <v>1762</v>
      </c>
      <c r="E80" s="101">
        <v>-3.1</v>
      </c>
      <c r="F80" s="95">
        <v>1711</v>
      </c>
      <c r="G80" s="101">
        <v>-5.9</v>
      </c>
    </row>
    <row r="81" spans="1:7" s="96" customFormat="1" ht="18" customHeight="1">
      <c r="A81" s="94" t="s">
        <v>152</v>
      </c>
      <c r="B81" s="95">
        <v>1819</v>
      </c>
      <c r="C81" s="97">
        <v>15.8</v>
      </c>
      <c r="D81" s="95">
        <v>1819</v>
      </c>
      <c r="E81" s="97">
        <v>15.8</v>
      </c>
      <c r="F81" s="95">
        <v>1819</v>
      </c>
      <c r="G81" s="97">
        <v>15.8</v>
      </c>
    </row>
    <row r="82" spans="1:7" s="96" customFormat="1" ht="18" customHeight="1">
      <c r="A82" s="94" t="s">
        <v>153</v>
      </c>
      <c r="B82" s="95">
        <v>1571</v>
      </c>
      <c r="C82" s="99" t="s">
        <v>94</v>
      </c>
      <c r="D82" s="95">
        <v>1571</v>
      </c>
      <c r="E82" s="99" t="s">
        <v>94</v>
      </c>
      <c r="F82" s="95">
        <v>1571</v>
      </c>
      <c r="G82" s="97">
        <v>6.8</v>
      </c>
    </row>
    <row r="83" spans="1:7" s="96" customFormat="1" ht="18" customHeight="1">
      <c r="A83" s="94" t="s">
        <v>154</v>
      </c>
      <c r="B83" s="95">
        <v>1571</v>
      </c>
      <c r="C83" s="97">
        <v>10.6</v>
      </c>
      <c r="D83" s="95">
        <v>1571</v>
      </c>
      <c r="E83" s="97">
        <v>6.7</v>
      </c>
      <c r="F83" s="95">
        <v>1421</v>
      </c>
      <c r="G83" s="99" t="s">
        <v>94</v>
      </c>
    </row>
    <row r="84" spans="1:7" s="96" customFormat="1" ht="18" customHeight="1">
      <c r="A84" s="94" t="s">
        <v>155</v>
      </c>
      <c r="B84" s="95">
        <v>1421</v>
      </c>
      <c r="C84" s="101">
        <v>-5.5</v>
      </c>
      <c r="D84" s="95">
        <v>1472</v>
      </c>
      <c r="E84" s="101">
        <v>-2.1</v>
      </c>
      <c r="F84" s="95">
        <v>1421</v>
      </c>
      <c r="G84" s="97">
        <v>10.6</v>
      </c>
    </row>
    <row r="85" spans="1:7" s="96" customFormat="1" ht="18" customHeight="1">
      <c r="A85" s="94" t="s">
        <v>156</v>
      </c>
      <c r="B85" s="95">
        <v>1503</v>
      </c>
      <c r="C85" s="97">
        <v>22.7</v>
      </c>
      <c r="D85" s="95">
        <v>1503</v>
      </c>
      <c r="E85" s="97">
        <v>20.8</v>
      </c>
      <c r="F85" s="95">
        <v>1503</v>
      </c>
      <c r="G85" s="97">
        <v>22.7</v>
      </c>
    </row>
    <row r="86" spans="1:7" s="96" customFormat="1" ht="18" customHeight="1">
      <c r="A86" s="94" t="s">
        <v>157</v>
      </c>
      <c r="B86" s="95">
        <v>1225</v>
      </c>
      <c r="C86" s="99" t="s">
        <v>94</v>
      </c>
      <c r="D86" s="95">
        <v>1244</v>
      </c>
      <c r="E86" s="99" t="s">
        <v>94</v>
      </c>
      <c r="F86" s="95">
        <v>1225</v>
      </c>
      <c r="G86" s="97">
        <v>6.8</v>
      </c>
    </row>
    <row r="87" spans="1:7" s="96" customFormat="1" ht="18" customHeight="1">
      <c r="A87" s="94" t="s">
        <v>158</v>
      </c>
      <c r="B87" s="95">
        <v>1225</v>
      </c>
      <c r="C87" s="97">
        <v>6.8</v>
      </c>
      <c r="D87" s="95">
        <v>1244</v>
      </c>
      <c r="E87" s="97">
        <v>7.7</v>
      </c>
      <c r="F87" s="95">
        <v>1147</v>
      </c>
      <c r="G87" s="99" t="s">
        <v>94</v>
      </c>
    </row>
    <row r="88" spans="1:7" s="96" customFormat="1" ht="18" customHeight="1">
      <c r="A88" s="94" t="s">
        <v>159</v>
      </c>
      <c r="B88" s="95">
        <v>1147</v>
      </c>
      <c r="C88" s="101">
        <v>-1.5</v>
      </c>
      <c r="D88" s="95">
        <v>1155</v>
      </c>
      <c r="E88" s="101">
        <v>-1</v>
      </c>
      <c r="F88" s="95">
        <v>1147</v>
      </c>
      <c r="G88" s="97">
        <v>17.399999999999999</v>
      </c>
    </row>
    <row r="89" spans="1:7" s="96" customFormat="1" ht="18" customHeight="1">
      <c r="A89" s="94" t="s">
        <v>160</v>
      </c>
      <c r="B89" s="95">
        <v>1165</v>
      </c>
      <c r="C89" s="97">
        <v>19.2</v>
      </c>
      <c r="D89" s="95">
        <v>1165</v>
      </c>
      <c r="E89" s="97">
        <v>17.8</v>
      </c>
      <c r="F89" s="97">
        <v>977</v>
      </c>
      <c r="G89" s="99" t="s">
        <v>94</v>
      </c>
    </row>
    <row r="90" spans="1:7" s="96" customFormat="1" ht="18" customHeight="1">
      <c r="A90" s="94" t="s">
        <v>161</v>
      </c>
      <c r="B90" s="97">
        <v>977</v>
      </c>
      <c r="C90" s="99" t="s">
        <v>94</v>
      </c>
      <c r="D90" s="97">
        <v>989</v>
      </c>
      <c r="E90" s="99" t="s">
        <v>94</v>
      </c>
      <c r="F90" s="97">
        <v>977</v>
      </c>
      <c r="G90" s="97">
        <v>8.8000000000000007</v>
      </c>
    </row>
    <row r="91" spans="1:7" s="96" customFormat="1" ht="18" customHeight="1">
      <c r="A91" s="94" t="s">
        <v>162</v>
      </c>
      <c r="B91" s="97">
        <v>977</v>
      </c>
      <c r="C91" s="97">
        <v>11.3</v>
      </c>
      <c r="D91" s="97">
        <v>989</v>
      </c>
      <c r="E91" s="97">
        <v>8.4</v>
      </c>
      <c r="F91" s="97">
        <v>878</v>
      </c>
      <c r="G91" s="99" t="s">
        <v>94</v>
      </c>
    </row>
    <row r="92" spans="1:7" s="96" customFormat="1" ht="18" customHeight="1">
      <c r="A92" s="94" t="s">
        <v>163</v>
      </c>
      <c r="B92" s="97">
        <v>878</v>
      </c>
      <c r="C92" s="97">
        <v>0.9</v>
      </c>
      <c r="D92" s="97">
        <v>912</v>
      </c>
      <c r="E92" s="97">
        <v>2.4</v>
      </c>
      <c r="F92" s="97">
        <v>878</v>
      </c>
      <c r="G92" s="97">
        <v>3.3</v>
      </c>
    </row>
    <row r="93" spans="1:7" s="96" customFormat="1" ht="18" customHeight="1">
      <c r="A93" s="94" t="s">
        <v>164</v>
      </c>
      <c r="B93" s="97">
        <v>870</v>
      </c>
      <c r="C93" s="97">
        <v>2.4</v>
      </c>
      <c r="D93" s="97">
        <v>891</v>
      </c>
      <c r="E93" s="97">
        <v>4.8</v>
      </c>
      <c r="F93" s="97">
        <v>850</v>
      </c>
      <c r="G93" s="99" t="s">
        <v>94</v>
      </c>
    </row>
    <row r="94" spans="1:7" s="96" customFormat="1" ht="18" customHeight="1">
      <c r="A94" s="94" t="s">
        <v>165</v>
      </c>
      <c r="B94" s="97">
        <v>850</v>
      </c>
      <c r="C94" s="97">
        <v>5.4</v>
      </c>
      <c r="D94" s="97">
        <v>850</v>
      </c>
      <c r="E94" s="97">
        <v>5.4</v>
      </c>
      <c r="F94" s="97">
        <v>850</v>
      </c>
      <c r="G94" s="97">
        <v>10.199999999999999</v>
      </c>
    </row>
    <row r="95" spans="1:7" s="96" customFormat="1" ht="18" customHeight="1">
      <c r="A95" s="94"/>
      <c r="B95" s="97"/>
      <c r="C95" s="97"/>
      <c r="D95" s="97"/>
      <c r="E95" s="97"/>
      <c r="F95" s="97"/>
      <c r="G95" s="97"/>
    </row>
    <row r="96" spans="1:7" ht="18" customHeight="1">
      <c r="A96" s="420" t="s">
        <v>166</v>
      </c>
      <c r="B96" s="420"/>
      <c r="C96" s="420"/>
      <c r="D96" s="420"/>
      <c r="E96" s="420"/>
      <c r="F96" s="96"/>
      <c r="G96" s="96"/>
    </row>
    <row r="97" spans="1:7" ht="18" customHeight="1">
      <c r="A97" s="421" t="s">
        <v>72</v>
      </c>
      <c r="B97" s="424" t="s">
        <v>167</v>
      </c>
      <c r="C97" s="424"/>
      <c r="D97" s="424" t="s">
        <v>168</v>
      </c>
      <c r="E97" s="424"/>
      <c r="F97" s="96"/>
      <c r="G97" s="96"/>
    </row>
    <row r="98" spans="1:7" ht="25.5">
      <c r="A98" s="422"/>
      <c r="B98" s="93" t="s">
        <v>77</v>
      </c>
      <c r="C98" s="93" t="s">
        <v>78</v>
      </c>
      <c r="D98" s="93" t="s">
        <v>77</v>
      </c>
      <c r="E98" s="93" t="s">
        <v>78</v>
      </c>
      <c r="F98" s="96"/>
      <c r="G98" s="96"/>
    </row>
    <row r="99" spans="1:7" ht="18" customHeight="1">
      <c r="A99" s="423"/>
      <c r="B99" s="93" t="s">
        <v>169</v>
      </c>
      <c r="C99" s="93" t="s">
        <v>80</v>
      </c>
      <c r="D99" s="93" t="s">
        <v>169</v>
      </c>
      <c r="E99" s="93" t="s">
        <v>80</v>
      </c>
      <c r="F99" s="96"/>
      <c r="G99" s="96"/>
    </row>
    <row r="100" spans="1:7" ht="18" customHeight="1">
      <c r="A100" s="94" t="s">
        <v>170</v>
      </c>
      <c r="B100" s="95">
        <v>806559</v>
      </c>
      <c r="C100" s="97">
        <v>0.8</v>
      </c>
      <c r="D100" s="95">
        <v>771500</v>
      </c>
      <c r="E100" s="99" t="s">
        <v>94</v>
      </c>
      <c r="F100" s="96"/>
      <c r="G100" s="96"/>
    </row>
    <row r="101" spans="1:7" ht="18" customHeight="1">
      <c r="A101" s="94" t="s">
        <v>171</v>
      </c>
      <c r="B101" s="95">
        <v>800000</v>
      </c>
      <c r="C101" s="97">
        <v>3.7</v>
      </c>
      <c r="D101" s="95">
        <v>771500</v>
      </c>
      <c r="E101" s="99" t="s">
        <v>94</v>
      </c>
      <c r="F101" s="96"/>
      <c r="G101" s="96"/>
    </row>
    <row r="102" spans="1:7" ht="18" customHeight="1">
      <c r="A102" s="94" t="s">
        <v>172</v>
      </c>
      <c r="B102" s="95">
        <v>771500</v>
      </c>
      <c r="C102" s="99" t="s">
        <v>94</v>
      </c>
      <c r="D102" s="95">
        <v>771500</v>
      </c>
      <c r="E102" s="97">
        <v>75.900000000000006</v>
      </c>
      <c r="F102" s="96"/>
      <c r="G102" s="96"/>
    </row>
    <row r="103" spans="1:7" ht="18" customHeight="1">
      <c r="A103" s="94" t="s">
        <v>173</v>
      </c>
      <c r="B103" s="95">
        <v>771500</v>
      </c>
      <c r="C103" s="97">
        <v>14.3</v>
      </c>
      <c r="D103" s="95">
        <v>438600</v>
      </c>
      <c r="E103" s="99" t="s">
        <v>94</v>
      </c>
      <c r="F103" s="96"/>
      <c r="G103" s="96"/>
    </row>
    <row r="104" spans="1:7" ht="18" customHeight="1">
      <c r="A104" s="94" t="s">
        <v>174</v>
      </c>
      <c r="B104" s="95">
        <v>675100</v>
      </c>
      <c r="C104" s="97">
        <v>30.9</v>
      </c>
      <c r="D104" s="95">
        <v>438600</v>
      </c>
      <c r="E104" s="99" t="s">
        <v>94</v>
      </c>
      <c r="F104" s="96"/>
      <c r="G104" s="96"/>
    </row>
    <row r="105" spans="1:7" ht="18" customHeight="1">
      <c r="A105" s="94" t="s">
        <v>175</v>
      </c>
      <c r="B105" s="95">
        <v>515600</v>
      </c>
      <c r="C105" s="97">
        <v>17.600000000000001</v>
      </c>
      <c r="D105" s="95">
        <v>438600</v>
      </c>
      <c r="E105" s="99" t="s">
        <v>94</v>
      </c>
      <c r="F105" s="96"/>
      <c r="G105" s="96"/>
    </row>
    <row r="106" spans="1:7" ht="18" customHeight="1">
      <c r="A106" s="94" t="s">
        <v>176</v>
      </c>
      <c r="B106" s="95">
        <v>438600</v>
      </c>
      <c r="C106" s="97">
        <v>10.1</v>
      </c>
      <c r="D106" s="95">
        <v>438600</v>
      </c>
      <c r="E106" s="97">
        <v>59</v>
      </c>
      <c r="F106" s="96"/>
      <c r="G106" s="96"/>
    </row>
    <row r="107" spans="1:7" ht="18" customHeight="1">
      <c r="A107" s="94" t="s">
        <v>177</v>
      </c>
      <c r="B107" s="95">
        <v>398300</v>
      </c>
      <c r="C107" s="97">
        <v>13.8</v>
      </c>
      <c r="D107" s="95">
        <v>275796</v>
      </c>
      <c r="E107" s="99" t="s">
        <v>94</v>
      </c>
      <c r="F107" s="96"/>
      <c r="G107" s="96"/>
    </row>
    <row r="108" spans="1:7" ht="18" customHeight="1">
      <c r="A108" s="94" t="s">
        <v>178</v>
      </c>
      <c r="B108" s="95">
        <v>350100</v>
      </c>
      <c r="C108" s="97">
        <v>3.4</v>
      </c>
      <c r="D108" s="95">
        <v>275796</v>
      </c>
      <c r="E108" s="99" t="s">
        <v>94</v>
      </c>
      <c r="F108" s="96"/>
      <c r="G108" s="96"/>
    </row>
    <row r="109" spans="1:7" ht="18" customHeight="1">
      <c r="A109" s="94" t="s">
        <v>179</v>
      </c>
      <c r="B109" s="95">
        <v>338500</v>
      </c>
      <c r="C109" s="97">
        <v>2</v>
      </c>
      <c r="D109" s="95">
        <v>275796</v>
      </c>
      <c r="E109" s="99" t="s">
        <v>94</v>
      </c>
      <c r="F109" s="96"/>
      <c r="G109" s="96"/>
    </row>
    <row r="110" spans="1:7" ht="18" customHeight="1">
      <c r="A110" s="94" t="s">
        <v>180</v>
      </c>
      <c r="B110" s="95">
        <v>331900</v>
      </c>
      <c r="C110" s="97">
        <v>35.700000000000003</v>
      </c>
      <c r="D110" s="95">
        <v>275796</v>
      </c>
      <c r="E110" s="99" t="s">
        <v>94</v>
      </c>
      <c r="F110" s="96"/>
      <c r="G110" s="96"/>
    </row>
    <row r="111" spans="1:7" ht="18" customHeight="1">
      <c r="A111" s="94" t="s">
        <v>181</v>
      </c>
      <c r="B111" s="95">
        <v>244549</v>
      </c>
      <c r="C111" s="101">
        <v>-11.3</v>
      </c>
      <c r="D111" s="95">
        <v>275796</v>
      </c>
      <c r="E111" s="99" t="s">
        <v>94</v>
      </c>
      <c r="F111" s="96"/>
      <c r="G111" s="96"/>
    </row>
    <row r="112" spans="1:7" ht="18" customHeight="1">
      <c r="A112" s="94" t="s">
        <v>182</v>
      </c>
      <c r="B112" s="95">
        <v>275796</v>
      </c>
      <c r="C112" s="97">
        <v>29.3</v>
      </c>
      <c r="D112" s="95">
        <v>275796</v>
      </c>
      <c r="E112" s="97">
        <v>216.6</v>
      </c>
      <c r="F112" s="96"/>
      <c r="G112" s="96"/>
    </row>
    <row r="113" spans="1:7" ht="18" customHeight="1">
      <c r="A113" s="94" t="s">
        <v>183</v>
      </c>
      <c r="B113" s="95">
        <v>213265</v>
      </c>
      <c r="C113" s="97">
        <v>17.100000000000001</v>
      </c>
      <c r="D113" s="95">
        <v>87122</v>
      </c>
      <c r="E113" s="99" t="s">
        <v>94</v>
      </c>
      <c r="F113" s="96"/>
      <c r="G113" s="96"/>
    </row>
    <row r="114" spans="1:7" ht="18" customHeight="1">
      <c r="A114" s="94" t="s">
        <v>184</v>
      </c>
      <c r="B114" s="95">
        <v>182192</v>
      </c>
      <c r="C114" s="97">
        <v>20</v>
      </c>
      <c r="D114" s="95">
        <v>87122</v>
      </c>
      <c r="E114" s="99" t="s">
        <v>94</v>
      </c>
      <c r="F114" s="96"/>
      <c r="G114" s="96"/>
    </row>
    <row r="115" spans="1:7" ht="18" customHeight="1">
      <c r="A115" s="94" t="s">
        <v>185</v>
      </c>
      <c r="B115" s="95">
        <v>151813</v>
      </c>
      <c r="C115" s="97">
        <v>32.9</v>
      </c>
      <c r="D115" s="95">
        <v>87122</v>
      </c>
      <c r="E115" s="99" t="s">
        <v>94</v>
      </c>
      <c r="F115" s="96"/>
      <c r="G115" s="96"/>
    </row>
    <row r="116" spans="1:7" ht="18" customHeight="1">
      <c r="A116" s="94" t="s">
        <v>186</v>
      </c>
      <c r="B116" s="95">
        <v>114254</v>
      </c>
      <c r="C116" s="97">
        <v>16.5</v>
      </c>
      <c r="D116" s="95">
        <v>87122</v>
      </c>
      <c r="E116" s="99" t="s">
        <v>94</v>
      </c>
      <c r="F116" s="96"/>
      <c r="G116" s="96"/>
    </row>
    <row r="117" spans="1:7" ht="18" customHeight="1">
      <c r="A117" s="94" t="s">
        <v>187</v>
      </c>
      <c r="B117" s="95">
        <v>98074</v>
      </c>
      <c r="C117" s="97">
        <v>12</v>
      </c>
      <c r="D117" s="95">
        <v>87122</v>
      </c>
      <c r="E117" s="99" t="s">
        <v>94</v>
      </c>
      <c r="F117" s="96"/>
      <c r="G117" s="96"/>
    </row>
    <row r="118" spans="1:7" ht="18" customHeight="1">
      <c r="A118" s="94" t="s">
        <v>188</v>
      </c>
      <c r="B118" s="95">
        <v>87566</v>
      </c>
      <c r="C118" s="97">
        <v>42.6</v>
      </c>
      <c r="D118" s="95">
        <v>87122</v>
      </c>
      <c r="E118" s="97">
        <v>93.1</v>
      </c>
      <c r="F118" s="96"/>
      <c r="G118" s="96"/>
    </row>
    <row r="119" spans="1:7" ht="18" customHeight="1">
      <c r="A119" s="94" t="s">
        <v>189</v>
      </c>
      <c r="B119" s="95">
        <v>61412</v>
      </c>
      <c r="C119" s="97">
        <v>14.6</v>
      </c>
      <c r="D119" s="95">
        <v>45122</v>
      </c>
      <c r="E119" s="99" t="s">
        <v>94</v>
      </c>
      <c r="F119" s="96"/>
      <c r="G119" s="96"/>
    </row>
    <row r="120" spans="1:7" ht="18" customHeight="1">
      <c r="A120" s="94" t="s">
        <v>190</v>
      </c>
      <c r="B120" s="95">
        <v>53569</v>
      </c>
      <c r="C120" s="97">
        <v>18.7</v>
      </c>
      <c r="D120" s="95">
        <v>45122</v>
      </c>
      <c r="E120" s="99" t="s">
        <v>94</v>
      </c>
      <c r="F120" s="96"/>
      <c r="G120" s="96"/>
    </row>
    <row r="121" spans="1:7" ht="18" customHeight="1">
      <c r="A121" s="94" t="s">
        <v>191</v>
      </c>
      <c r="B121" s="95">
        <v>45122</v>
      </c>
      <c r="C121" s="97">
        <v>25.6</v>
      </c>
      <c r="D121" s="95">
        <v>45122</v>
      </c>
      <c r="E121" s="97">
        <v>67.400000000000006</v>
      </c>
      <c r="F121" s="96"/>
      <c r="G121" s="96"/>
    </row>
    <row r="122" spans="1:7" ht="18" customHeight="1">
      <c r="A122" s="94" t="s">
        <v>192</v>
      </c>
      <c r="B122" s="95">
        <v>35916</v>
      </c>
      <c r="C122" s="97">
        <v>13.2</v>
      </c>
      <c r="D122" s="95">
        <v>26957</v>
      </c>
      <c r="E122" s="99" t="s">
        <v>94</v>
      </c>
      <c r="F122" s="96"/>
      <c r="G122" s="96"/>
    </row>
    <row r="123" spans="1:7" ht="18" customHeight="1">
      <c r="A123" s="94" t="s">
        <v>193</v>
      </c>
      <c r="B123" s="95">
        <v>26957</v>
      </c>
      <c r="C123" s="97">
        <v>17.5</v>
      </c>
      <c r="D123" s="95">
        <v>26957</v>
      </c>
      <c r="E123" s="97">
        <v>51.7</v>
      </c>
      <c r="F123" s="96"/>
      <c r="G123" s="96"/>
    </row>
    <row r="124" spans="1:7" ht="18" customHeight="1">
      <c r="A124" s="94" t="s">
        <v>194</v>
      </c>
      <c r="B124" s="95">
        <v>22945</v>
      </c>
      <c r="C124" s="97">
        <v>29.1</v>
      </c>
      <c r="D124" s="95">
        <v>17768</v>
      </c>
      <c r="E124" s="99" t="s">
        <v>94</v>
      </c>
      <c r="F124" s="96"/>
      <c r="G124" s="96"/>
    </row>
    <row r="125" spans="1:7" ht="18" customHeight="1">
      <c r="A125" s="94" t="s">
        <v>195</v>
      </c>
      <c r="B125" s="95">
        <v>17768</v>
      </c>
      <c r="C125" s="97">
        <v>25.2</v>
      </c>
      <c r="D125" s="95">
        <v>17768</v>
      </c>
      <c r="E125" s="97">
        <v>58.2</v>
      </c>
      <c r="F125" s="96"/>
      <c r="G125" s="96"/>
    </row>
    <row r="126" spans="1:7" ht="18" customHeight="1">
      <c r="A126" s="94" t="s">
        <v>196</v>
      </c>
      <c r="B126" s="95">
        <v>14193</v>
      </c>
      <c r="C126" s="97">
        <v>26.4</v>
      </c>
      <c r="D126" s="95">
        <v>11233</v>
      </c>
      <c r="E126" s="99" t="s">
        <v>94</v>
      </c>
      <c r="F126" s="96"/>
      <c r="G126" s="96"/>
    </row>
    <row r="127" spans="1:7" ht="18" customHeight="1">
      <c r="A127" s="94" t="s">
        <v>197</v>
      </c>
      <c r="B127" s="95">
        <v>11233</v>
      </c>
      <c r="C127" s="97">
        <v>17.399999999999999</v>
      </c>
      <c r="D127" s="95">
        <v>11233</v>
      </c>
      <c r="E127" s="97">
        <v>40.4</v>
      </c>
      <c r="F127" s="96"/>
      <c r="G127" s="96"/>
    </row>
    <row r="128" spans="1:7" ht="18" customHeight="1">
      <c r="A128" s="94" t="s">
        <v>198</v>
      </c>
      <c r="B128" s="95">
        <v>9569</v>
      </c>
      <c r="C128" s="97">
        <v>19.600000000000001</v>
      </c>
      <c r="D128" s="95">
        <v>8000</v>
      </c>
      <c r="E128" s="99" t="s">
        <v>94</v>
      </c>
      <c r="F128" s="96"/>
      <c r="G128" s="96"/>
    </row>
    <row r="129" spans="1:7" ht="18" customHeight="1">
      <c r="A129" s="94" t="s">
        <v>199</v>
      </c>
      <c r="B129" s="95">
        <v>8000</v>
      </c>
      <c r="C129" s="97">
        <v>25.5</v>
      </c>
      <c r="D129" s="95">
        <v>8000</v>
      </c>
      <c r="E129" s="97">
        <v>47.5</v>
      </c>
      <c r="F129" s="96"/>
      <c r="G129" s="96"/>
    </row>
    <row r="130" spans="1:7" ht="18" customHeight="1">
      <c r="A130" s="94" t="s">
        <v>200</v>
      </c>
      <c r="B130" s="95">
        <v>6377</v>
      </c>
      <c r="C130" s="97">
        <v>17.600000000000001</v>
      </c>
      <c r="D130" s="95">
        <v>5423</v>
      </c>
      <c r="E130" s="99" t="s">
        <v>94</v>
      </c>
      <c r="F130" s="96"/>
      <c r="G130" s="96"/>
    </row>
    <row r="131" spans="1:7" ht="18" customHeight="1">
      <c r="A131" s="94" t="s">
        <v>201</v>
      </c>
      <c r="B131" s="95">
        <v>5423</v>
      </c>
      <c r="C131" s="97">
        <v>28.9</v>
      </c>
      <c r="D131" s="95">
        <v>5423</v>
      </c>
      <c r="E131" s="97">
        <v>81.3</v>
      </c>
      <c r="F131" s="96"/>
      <c r="G131" s="96"/>
    </row>
    <row r="132" spans="1:7" ht="18" customHeight="1">
      <c r="A132" s="94" t="s">
        <v>202</v>
      </c>
      <c r="B132" s="95">
        <v>4206</v>
      </c>
      <c r="C132" s="97">
        <v>40.6</v>
      </c>
      <c r="D132" s="95">
        <v>2992</v>
      </c>
      <c r="E132" s="99" t="s">
        <v>94</v>
      </c>
      <c r="F132" s="96"/>
      <c r="G132" s="96"/>
    </row>
    <row r="133" spans="1:7" ht="18" customHeight="1">
      <c r="A133" s="94" t="s">
        <v>203</v>
      </c>
      <c r="B133" s="95">
        <v>2992</v>
      </c>
      <c r="C133" s="97">
        <v>11.4</v>
      </c>
      <c r="D133" s="95">
        <v>2992</v>
      </c>
      <c r="E133" s="97">
        <v>40.700000000000003</v>
      </c>
      <c r="F133" s="96"/>
      <c r="G133" s="96"/>
    </row>
    <row r="134" spans="1:7" ht="18" customHeight="1">
      <c r="A134" s="94" t="s">
        <v>204</v>
      </c>
      <c r="B134" s="95">
        <v>2686</v>
      </c>
      <c r="C134" s="97">
        <v>26.3</v>
      </c>
      <c r="D134" s="95">
        <v>2126</v>
      </c>
      <c r="E134" s="99" t="s">
        <v>94</v>
      </c>
      <c r="F134" s="96"/>
      <c r="G134" s="96"/>
    </row>
    <row r="135" spans="1:7" ht="18" customHeight="1">
      <c r="A135" s="94" t="s">
        <v>205</v>
      </c>
      <c r="B135" s="97">
        <v>846</v>
      </c>
      <c r="C135" s="97">
        <v>58.1</v>
      </c>
      <c r="D135" s="99" t="s">
        <v>94</v>
      </c>
      <c r="E135" s="99" t="s">
        <v>94</v>
      </c>
      <c r="F135" s="96"/>
      <c r="G135" s="96"/>
    </row>
    <row r="136" spans="1:7" ht="18" customHeight="1">
      <c r="A136" s="94" t="s">
        <v>206</v>
      </c>
      <c r="B136" s="97">
        <v>535</v>
      </c>
      <c r="C136" s="97">
        <v>49.9</v>
      </c>
      <c r="D136" s="99" t="s">
        <v>94</v>
      </c>
      <c r="E136" s="99" t="s">
        <v>94</v>
      </c>
      <c r="F136" s="96"/>
      <c r="G136" s="96"/>
    </row>
    <row r="137" spans="1:7" ht="18" customHeight="1">
      <c r="A137" s="94" t="s">
        <v>207</v>
      </c>
      <c r="B137" s="97">
        <v>357</v>
      </c>
      <c r="C137" s="97">
        <v>46.3</v>
      </c>
      <c r="D137" s="99" t="s">
        <v>94</v>
      </c>
      <c r="E137" s="99" t="s">
        <v>94</v>
      </c>
      <c r="F137" s="96"/>
      <c r="G137" s="96"/>
    </row>
    <row r="138" spans="1:7" ht="18" customHeight="1">
      <c r="A138" s="94" t="s">
        <v>208</v>
      </c>
      <c r="B138" s="97">
        <v>244</v>
      </c>
      <c r="C138" s="97">
        <v>29.1</v>
      </c>
      <c r="D138" s="99" t="s">
        <v>94</v>
      </c>
      <c r="E138" s="99" t="s">
        <v>94</v>
      </c>
      <c r="F138" s="96"/>
      <c r="G138" s="96"/>
    </row>
    <row r="139" spans="1:7" ht="18" customHeight="1">
      <c r="A139" s="94" t="s">
        <v>209</v>
      </c>
      <c r="B139" s="97">
        <v>189</v>
      </c>
      <c r="C139" s="97">
        <v>47.7</v>
      </c>
      <c r="D139" s="99" t="s">
        <v>94</v>
      </c>
      <c r="E139" s="99" t="s">
        <v>94</v>
      </c>
      <c r="F139" s="96"/>
      <c r="G139" s="96"/>
    </row>
    <row r="140" spans="1:7" ht="18" customHeight="1">
      <c r="A140" s="94" t="s">
        <v>210</v>
      </c>
      <c r="B140" s="97">
        <v>128</v>
      </c>
      <c r="C140" s="97">
        <v>28</v>
      </c>
      <c r="D140" s="99" t="s">
        <v>94</v>
      </c>
      <c r="E140" s="99" t="s">
        <v>94</v>
      </c>
      <c r="F140" s="96"/>
      <c r="G140" s="96"/>
    </row>
    <row r="141" spans="1:7" ht="18" customHeight="1">
      <c r="A141" s="94" t="s">
        <v>211</v>
      </c>
      <c r="B141" s="97">
        <v>100</v>
      </c>
      <c r="C141" s="99" t="s">
        <v>94</v>
      </c>
      <c r="D141" s="99" t="s">
        <v>94</v>
      </c>
      <c r="E141" s="99" t="s">
        <v>94</v>
      </c>
      <c r="F141" s="96"/>
      <c r="G141" s="96"/>
    </row>
  </sheetData>
  <mergeCells count="16">
    <mergeCell ref="A1:G1"/>
    <mergeCell ref="A3:A6"/>
    <mergeCell ref="B3:C4"/>
    <mergeCell ref="D3:G3"/>
    <mergeCell ref="D4:E4"/>
    <mergeCell ref="F4:G4"/>
    <mergeCell ref="A96:E96"/>
    <mergeCell ref="A97:A99"/>
    <mergeCell ref="B97:C97"/>
    <mergeCell ref="D97:E97"/>
    <mergeCell ref="A60:G60"/>
    <mergeCell ref="A61:A64"/>
    <mergeCell ref="B61:C62"/>
    <mergeCell ref="D61:G61"/>
    <mergeCell ref="D62:E62"/>
    <mergeCell ref="F62:G62"/>
  </mergeCells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rightToLeft="1" workbookViewId="0">
      <selection activeCell="H34" sqref="H34"/>
    </sheetView>
  </sheetViews>
  <sheetFormatPr defaultRowHeight="14.25"/>
  <cols>
    <col min="1" max="1" width="12.625" customWidth="1"/>
    <col min="2" max="4" width="14" customWidth="1"/>
    <col min="6" max="6" width="10.875" customWidth="1"/>
    <col min="7" max="7" width="9.125" customWidth="1"/>
    <col min="8" max="8" width="14.625" customWidth="1"/>
    <col min="9" max="9" width="46.625" customWidth="1"/>
  </cols>
  <sheetData>
    <row r="2" spans="2:9" s="1" customFormat="1" ht="15">
      <c r="B2" s="53" t="s">
        <v>37</v>
      </c>
      <c r="C2" s="53"/>
      <c r="D2" s="53"/>
      <c r="E2" s="54"/>
      <c r="F2" s="54"/>
      <c r="G2" s="54"/>
      <c r="H2" s="54"/>
      <c r="I2" s="54" t="s">
        <v>56</v>
      </c>
    </row>
    <row r="3" spans="2:9">
      <c r="B3" s="54"/>
      <c r="C3" s="54"/>
      <c r="D3" s="54"/>
      <c r="E3" s="54"/>
      <c r="F3" s="54"/>
      <c r="G3" s="54"/>
      <c r="H3" s="54"/>
      <c r="I3" s="54"/>
    </row>
    <row r="4" spans="2:9">
      <c r="B4" s="428" t="s">
        <v>38</v>
      </c>
      <c r="C4" s="429" t="s">
        <v>57</v>
      </c>
      <c r="D4" s="429"/>
      <c r="E4" s="429" t="s">
        <v>58</v>
      </c>
      <c r="F4" s="429"/>
      <c r="G4" s="429" t="s">
        <v>59</v>
      </c>
      <c r="H4" s="429"/>
      <c r="I4" s="426" t="s">
        <v>32</v>
      </c>
    </row>
    <row r="5" spans="2:9" s="68" customFormat="1">
      <c r="B5" s="428"/>
      <c r="C5" s="67" t="s">
        <v>60</v>
      </c>
      <c r="D5" s="67" t="s">
        <v>61</v>
      </c>
      <c r="E5" s="67" t="s">
        <v>27</v>
      </c>
      <c r="F5" s="67" t="s">
        <v>61</v>
      </c>
      <c r="G5" s="67" t="s">
        <v>60</v>
      </c>
      <c r="H5" s="67" t="s">
        <v>61</v>
      </c>
      <c r="I5" s="427"/>
    </row>
    <row r="6" spans="2:9">
      <c r="B6" s="55" t="s">
        <v>39</v>
      </c>
      <c r="C6" s="55"/>
      <c r="D6" s="56">
        <v>25</v>
      </c>
      <c r="E6" s="55"/>
      <c r="F6" s="56">
        <v>25.94</v>
      </c>
      <c r="G6" s="69"/>
      <c r="H6" s="70">
        <v>26.88</v>
      </c>
      <c r="I6" s="57">
        <f xml:space="preserve"> H6 / F6 - 1</f>
        <v>3.6237471087124051E-2</v>
      </c>
    </row>
    <row r="7" spans="2:9">
      <c r="B7" s="55"/>
      <c r="C7" s="55"/>
      <c r="D7" s="56"/>
      <c r="E7" s="55"/>
      <c r="F7" s="56"/>
      <c r="G7" s="69"/>
      <c r="H7" s="70"/>
      <c r="I7" s="55"/>
    </row>
    <row r="8" spans="2:9">
      <c r="B8" s="55" t="s">
        <v>40</v>
      </c>
      <c r="C8" s="58">
        <f>10*8.5/12/186</f>
        <v>3.8082437275985662E-2</v>
      </c>
      <c r="D8" s="56">
        <f>(D6+D12)*C8</f>
        <v>0.96538978494623662</v>
      </c>
      <c r="E8" s="58">
        <f>11*8.5/12/186</f>
        <v>4.1890681003584229E-2</v>
      </c>
      <c r="F8" s="56">
        <f>(F6+F12)*E8</f>
        <v>1.1013060035842295</v>
      </c>
      <c r="G8" s="71">
        <v>4.6236559139784944E-2</v>
      </c>
      <c r="H8" s="70">
        <f>(H6+H12)*G8</f>
        <v>1.2590215053763441</v>
      </c>
      <c r="I8" s="55"/>
    </row>
    <row r="9" spans="2:9">
      <c r="B9" s="55" t="s">
        <v>41</v>
      </c>
      <c r="C9" s="57">
        <f>D9/D6</f>
        <v>5.3566308243727601E-2</v>
      </c>
      <c r="D9" s="56">
        <f>7*427/12/186</f>
        <v>1.3391577060931901</v>
      </c>
      <c r="E9" s="57">
        <f>F9/F6</f>
        <v>5.1657671549730146E-2</v>
      </c>
      <c r="F9" s="56">
        <v>1.34</v>
      </c>
      <c r="G9" s="72">
        <f>H9/H6</f>
        <v>4.9851190476190479E-2</v>
      </c>
      <c r="H9" s="70">
        <v>1.34</v>
      </c>
      <c r="I9" s="55"/>
    </row>
    <row r="10" spans="2:9">
      <c r="B10" s="55" t="s">
        <v>42</v>
      </c>
      <c r="C10" s="58">
        <v>3.4299999999999997E-2</v>
      </c>
      <c r="D10" s="56">
        <f>D6*C10*(1+C8+C9+C11+C12+C13)</f>
        <v>0.94809379928315407</v>
      </c>
      <c r="E10" s="58">
        <v>3.4299999999999997E-2</v>
      </c>
      <c r="F10" s="56">
        <f>F6*E10*(1+E8+E9+E11+E12+E13)</f>
        <v>0.9849808982974908</v>
      </c>
      <c r="G10" s="71">
        <v>3.4299999999999997E-2</v>
      </c>
      <c r="H10" s="70">
        <f>H6*G10*(1+G8+G9+G11+G12+G13)</f>
        <v>1.0225803677419352</v>
      </c>
      <c r="I10" s="55"/>
    </row>
    <row r="11" spans="2:9">
      <c r="B11" s="55" t="s">
        <v>43</v>
      </c>
      <c r="C11" s="58"/>
      <c r="D11" s="56"/>
      <c r="E11" s="58"/>
      <c r="F11" s="56"/>
      <c r="G11" s="71"/>
      <c r="H11" s="70"/>
      <c r="I11" s="59" t="s">
        <v>44</v>
      </c>
    </row>
    <row r="12" spans="2:9">
      <c r="B12" s="55" t="s">
        <v>45</v>
      </c>
      <c r="C12" s="57">
        <f>0.35/D6</f>
        <v>1.3999999999999999E-2</v>
      </c>
      <c r="D12" s="56">
        <v>0.35</v>
      </c>
      <c r="E12" s="57">
        <f>0.35/F6</f>
        <v>1.3492675404780261E-2</v>
      </c>
      <c r="F12" s="56">
        <v>0.35</v>
      </c>
      <c r="G12" s="72">
        <f>0.35/H6</f>
        <v>1.3020833333333332E-2</v>
      </c>
      <c r="H12" s="70">
        <v>0.35</v>
      </c>
      <c r="I12" s="55"/>
    </row>
    <row r="13" spans="2:9">
      <c r="B13" s="55" t="s">
        <v>46</v>
      </c>
      <c r="C13" s="57"/>
      <c r="D13" s="120">
        <f>(2*212.5)/12/186</f>
        <v>0.19041218637992829</v>
      </c>
      <c r="E13" s="57"/>
      <c r="F13" s="56">
        <v>0.19</v>
      </c>
      <c r="G13" s="72"/>
      <c r="H13" s="70">
        <v>0.19</v>
      </c>
      <c r="I13" s="55"/>
    </row>
    <row r="14" spans="2:9">
      <c r="B14" s="55" t="s">
        <v>47</v>
      </c>
      <c r="C14" s="57"/>
      <c r="D14" s="56"/>
      <c r="E14" s="57"/>
      <c r="F14" s="56"/>
      <c r="G14" s="72"/>
      <c r="H14" s="70"/>
      <c r="I14" s="59" t="s">
        <v>44</v>
      </c>
    </row>
    <row r="15" spans="2:9">
      <c r="B15" s="55" t="s">
        <v>48</v>
      </c>
      <c r="C15" s="57">
        <f>3.45%*0.85+6.5%*0.15</f>
        <v>3.9074999999999999E-2</v>
      </c>
      <c r="D15" s="56">
        <f>(D6+D8+D9+D10+D11+D12+D13+D14)*C15</f>
        <v>1.1250885646021505</v>
      </c>
      <c r="E15" s="57">
        <f>3.45%*0.85+7.5%*0.15</f>
        <v>4.0575E-2</v>
      </c>
      <c r="F15" s="56">
        <f>(F6+F8+F9+F10+F11+F12+F13+F14)*E15</f>
        <v>1.2134475910438509</v>
      </c>
      <c r="G15" s="72">
        <f>3.45%*0.85+7.5%*0.15</f>
        <v>4.0575E-2</v>
      </c>
      <c r="H15" s="70">
        <f>(H6+H8+H9+H10+H11+H12+H13+H14)*G15</f>
        <v>1.2595129960017741</v>
      </c>
      <c r="I15" s="55" t="s">
        <v>49</v>
      </c>
    </row>
    <row r="16" spans="2:9">
      <c r="B16" s="55" t="s">
        <v>50</v>
      </c>
      <c r="C16" s="58">
        <v>7.4999999999999997E-2</v>
      </c>
      <c r="D16" s="56">
        <f>(D6+D8+D9+D10+D11+D12+D13)*C16</f>
        <v>2.1594790107526878</v>
      </c>
      <c r="E16" s="58">
        <v>7.4999999999999997E-2</v>
      </c>
      <c r="F16" s="56">
        <f>(F6+F8+F9+F10+F11+F12+F13)*E16</f>
        <v>2.2429715176411293</v>
      </c>
      <c r="G16" s="71">
        <v>7.4999999999999997E-2</v>
      </c>
      <c r="H16" s="70">
        <f>(H6+H8+H9+H10+H11+H12+H13)*G16</f>
        <v>2.3281201404838709</v>
      </c>
      <c r="I16" s="55"/>
    </row>
    <row r="17" spans="2:9">
      <c r="B17" s="55" t="s">
        <v>51</v>
      </c>
      <c r="C17" s="58">
        <v>8.3299999999999999E-2</v>
      </c>
      <c r="D17" s="56">
        <f>(D6+D8+D9+D10+D11+D12+D13)*C17</f>
        <v>2.398461354609319</v>
      </c>
      <c r="E17" s="58">
        <v>8.3299999999999999E-2</v>
      </c>
      <c r="F17" s="56">
        <f>(F6+F8+F9+F10+F11+F12+F13)*E17</f>
        <v>2.4911936989267476</v>
      </c>
      <c r="G17" s="71">
        <v>8.3299999999999999E-2</v>
      </c>
      <c r="H17" s="70">
        <f>(H6+H8+H9+H10+H11+H12+H13)*G17</f>
        <v>2.5857654360307527</v>
      </c>
      <c r="I17" s="55"/>
    </row>
    <row r="18" spans="2:9">
      <c r="B18" s="55" t="s">
        <v>52</v>
      </c>
      <c r="C18" s="58">
        <v>7.4999999999999997E-2</v>
      </c>
      <c r="D18" s="56">
        <f>(D6+D8+D10)*C18</f>
        <v>2.0185112688172042</v>
      </c>
      <c r="E18" s="58">
        <v>7.4999999999999997E-2</v>
      </c>
      <c r="F18" s="56">
        <f>(F6+F8+F10)*E18</f>
        <v>2.1019715176411289</v>
      </c>
      <c r="G18" s="71">
        <v>7.4999999999999997E-2</v>
      </c>
      <c r="H18" s="70">
        <f>(H6+H8+H10)*G18</f>
        <v>2.1871201404838705</v>
      </c>
      <c r="I18" s="55"/>
    </row>
    <row r="19" spans="2:9">
      <c r="B19" s="55" t="s">
        <v>53</v>
      </c>
      <c r="C19" s="60"/>
      <c r="D19" s="56"/>
      <c r="E19" s="60"/>
      <c r="F19" s="56"/>
      <c r="G19" s="73"/>
      <c r="H19" s="70"/>
      <c r="I19" s="59" t="s">
        <v>44</v>
      </c>
    </row>
    <row r="20" spans="2:9">
      <c r="B20" s="61" t="s">
        <v>54</v>
      </c>
      <c r="C20" s="62">
        <v>0.01</v>
      </c>
      <c r="D20" s="119">
        <f>(D6+D14)*C20</f>
        <v>0.25</v>
      </c>
      <c r="E20" s="62">
        <v>0.01</v>
      </c>
      <c r="F20" s="63">
        <f>(F6+F14)*E20</f>
        <v>0.25940000000000002</v>
      </c>
      <c r="G20" s="74">
        <v>0.01</v>
      </c>
      <c r="H20" s="75">
        <f>(H6+H14)*G20</f>
        <v>0.26879999999999998</v>
      </c>
      <c r="I20" s="55"/>
    </row>
    <row r="21" spans="2:9">
      <c r="B21" s="55" t="s">
        <v>33</v>
      </c>
      <c r="C21" s="55"/>
      <c r="D21" s="56">
        <f>SUM(D8:D20)</f>
        <v>11.74459367548387</v>
      </c>
      <c r="E21" s="55"/>
      <c r="F21" s="56">
        <f>SUM(F8:F20)</f>
        <v>12.275271227134578</v>
      </c>
      <c r="G21" s="69"/>
      <c r="H21" s="70">
        <f>SUM(H8:H20)</f>
        <v>12.790920586118547</v>
      </c>
      <c r="I21" s="55"/>
    </row>
    <row r="22" spans="2:9">
      <c r="B22" s="55" t="s">
        <v>62</v>
      </c>
      <c r="C22" s="55"/>
      <c r="D22" s="76">
        <f>D6+D21</f>
        <v>36.74459367548387</v>
      </c>
      <c r="E22" s="55"/>
      <c r="F22" s="76">
        <f>F6+F21</f>
        <v>38.215271227134579</v>
      </c>
      <c r="G22" s="77">
        <f xml:space="preserve"> H22 / F22</f>
        <v>1.0380907765990259</v>
      </c>
      <c r="H22" s="78">
        <f>H6+H21</f>
        <v>39.670920586118548</v>
      </c>
      <c r="I22" s="55"/>
    </row>
    <row r="23" spans="2:9" ht="15">
      <c r="B23" s="64" t="s">
        <v>29</v>
      </c>
      <c r="C23" s="79"/>
      <c r="D23" s="79"/>
      <c r="E23" s="65"/>
      <c r="F23" s="80">
        <f xml:space="preserve"> F22 - D22</f>
        <v>1.4706775516507093</v>
      </c>
      <c r="G23" s="65"/>
      <c r="H23" s="81">
        <f>H22-F22</f>
        <v>1.455649358983969</v>
      </c>
    </row>
    <row r="24" spans="2:9">
      <c r="B24" s="66"/>
      <c r="C24" s="82"/>
      <c r="D24" s="82"/>
    </row>
    <row r="25" spans="2:9">
      <c r="D25" s="373" t="s">
        <v>219</v>
      </c>
      <c r="E25" s="373"/>
      <c r="F25" s="373"/>
    </row>
    <row r="26" spans="2:9">
      <c r="B26" s="17"/>
      <c r="C26" s="17"/>
      <c r="D26" s="17"/>
      <c r="E26" s="17"/>
      <c r="F26" s="17" t="s">
        <v>217</v>
      </c>
      <c r="G26" s="17" t="s">
        <v>223</v>
      </c>
      <c r="H26" s="17" t="s">
        <v>218</v>
      </c>
    </row>
    <row r="27" spans="2:9">
      <c r="B27" s="17" t="s">
        <v>220</v>
      </c>
      <c r="C27" s="17"/>
      <c r="D27" s="17"/>
      <c r="E27" s="17"/>
      <c r="F27" s="17">
        <v>38.42</v>
      </c>
      <c r="G27" s="115">
        <f xml:space="preserve"> H23</f>
        <v>1.455649358983969</v>
      </c>
      <c r="H27" s="115">
        <f xml:space="preserve"> F27 + G27</f>
        <v>39.875649358983971</v>
      </c>
    </row>
    <row r="28" spans="2:9">
      <c r="B28" s="17" t="s">
        <v>221</v>
      </c>
      <c r="C28" s="17"/>
      <c r="D28" s="17"/>
      <c r="E28" s="17"/>
      <c r="F28" s="17">
        <v>7.97</v>
      </c>
      <c r="G28" s="17"/>
      <c r="H28" s="17">
        <v>7.97</v>
      </c>
    </row>
    <row r="29" spans="2:9">
      <c r="B29" s="17" t="s">
        <v>222</v>
      </c>
      <c r="C29" s="17"/>
      <c r="D29" s="17"/>
      <c r="E29" s="17"/>
      <c r="F29" s="17">
        <f>SUM(F27:F28)</f>
        <v>46.39</v>
      </c>
      <c r="G29" s="17"/>
      <c r="H29" s="115">
        <f>SUM(H27:H28)</f>
        <v>47.84564935898397</v>
      </c>
    </row>
  </sheetData>
  <mergeCells count="6">
    <mergeCell ref="I4:I5"/>
    <mergeCell ref="D25:F25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rightToLeft="1" topLeftCell="A4" zoomScale="80" zoomScaleNormal="80" workbookViewId="0">
      <selection activeCell="E16" sqref="E16"/>
    </sheetView>
  </sheetViews>
  <sheetFormatPr defaultColWidth="9" defaultRowHeight="18.75"/>
  <cols>
    <col min="1" max="1" width="51.625" style="148" customWidth="1"/>
    <col min="2" max="2" width="15.625" style="153" customWidth="1"/>
    <col min="3" max="3" width="15.625" style="148" customWidth="1"/>
    <col min="4" max="5" width="15.625" style="153" customWidth="1"/>
    <col min="6" max="9" width="15.625" style="148" customWidth="1"/>
    <col min="10" max="16384" width="9" style="148"/>
  </cols>
  <sheetData>
    <row r="1" spans="1:9" ht="26.25">
      <c r="A1" s="359" t="s">
        <v>422</v>
      </c>
      <c r="B1" s="359"/>
      <c r="C1" s="359"/>
      <c r="D1" s="359"/>
      <c r="E1" s="359"/>
      <c r="F1" s="359"/>
      <c r="G1" s="359"/>
      <c r="H1" s="359"/>
    </row>
    <row r="2" spans="1:9" ht="26.25">
      <c r="A2" s="290"/>
      <c r="B2" s="290"/>
      <c r="C2" s="290"/>
      <c r="D2" s="290"/>
      <c r="E2" s="290"/>
      <c r="F2" s="290"/>
    </row>
    <row r="3" spans="1:9">
      <c r="C3" s="151"/>
      <c r="G3" s="184"/>
      <c r="H3" s="182"/>
    </row>
    <row r="4" spans="1:9" ht="33.950000000000003" customHeight="1">
      <c r="B4" s="312" t="s">
        <v>406</v>
      </c>
      <c r="C4" s="312" t="s">
        <v>36</v>
      </c>
      <c r="D4" s="312" t="s">
        <v>407</v>
      </c>
      <c r="E4" s="312" t="s">
        <v>317</v>
      </c>
      <c r="F4" s="312" t="s">
        <v>408</v>
      </c>
      <c r="G4" s="312" t="s">
        <v>409</v>
      </c>
      <c r="H4" s="312" t="s">
        <v>395</v>
      </c>
      <c r="I4" s="312" t="s">
        <v>33</v>
      </c>
    </row>
    <row r="5" spans="1:9">
      <c r="A5" s="155" t="s">
        <v>410</v>
      </c>
      <c r="B5" s="315">
        <f xml:space="preserve"> 'תקציב מנחם בגין'!D6</f>
        <v>27313.32</v>
      </c>
      <c r="C5" s="315">
        <f xml:space="preserve"> 'תקציב מאמוניה'!D6</f>
        <v>2887</v>
      </c>
      <c r="D5" s="315">
        <f xml:space="preserve"> 'תקציב עטרות'!D6</f>
        <v>536</v>
      </c>
      <c r="E5" s="315">
        <f xml:space="preserve"> 'תקציב חפציבה'!D6</f>
        <v>3865</v>
      </c>
      <c r="F5" s="315">
        <f xml:space="preserve"> 'תקציב ג''נרלי'!D6</f>
        <v>4100</v>
      </c>
      <c r="G5" s="315">
        <f xml:space="preserve"> 'תקציב רשות אוכלוסין'!D6</f>
        <v>2560</v>
      </c>
      <c r="H5" s="315">
        <f xml:space="preserve"> 'תקציב הלל'!D6</f>
        <v>1223</v>
      </c>
      <c r="I5" s="315">
        <f>SUM(B5:H5)</f>
        <v>42484.32</v>
      </c>
    </row>
    <row r="6" spans="1:9">
      <c r="A6" s="157"/>
      <c r="B6" s="291"/>
      <c r="C6" s="291"/>
      <c r="D6" s="291"/>
      <c r="E6" s="302"/>
      <c r="F6" s="313"/>
      <c r="G6" s="314"/>
      <c r="H6" s="151"/>
      <c r="I6" s="151"/>
    </row>
    <row r="7" spans="1:9">
      <c r="A7" s="155" t="s">
        <v>411</v>
      </c>
      <c r="B7" s="162">
        <f xml:space="preserve"> 'תקציב מנחם בגין'!J17 + 'תקציב מנחם בגין'!J30 + 'תקציב מנחם בגין'!J56</f>
        <v>254726.03838315347</v>
      </c>
      <c r="C7" s="162">
        <f xml:space="preserve"> 'תקציב מאמוניה'!J16 + 'תקציב מאמוניה'!J30 + 'תקציב מאמוניה'!J56</f>
        <v>47736.321538819728</v>
      </c>
      <c r="D7" s="162">
        <f xml:space="preserve"> 'תקציב עטרות'!J16 + 'תקציב עטרות'!J30 +'תקציב עטרות'!J56</f>
        <v>6100.6167013658514</v>
      </c>
      <c r="E7" s="162">
        <f xml:space="preserve"> 'תקציב חפציבה'!J16 + 'תקציב חפציבה'!J30 + 'תקציב חפציבה'!J56</f>
        <v>79112.281457133751</v>
      </c>
      <c r="F7" s="162">
        <f xml:space="preserve"> 'תקציב ג''נרלי'!J16 + 'תקציב ג''נרלי'!J30 + 'תקציב ג''נרלי'!J56</f>
        <v>67974.567459675542</v>
      </c>
      <c r="G7" s="162">
        <f xml:space="preserve"> 'תקציב רשות אוכלוסין'!J16 + 'תקציב רשות אוכלוסין'!J30 + 'תקציב רשות אוכלוסין'!J56</f>
        <v>40621.097656642101</v>
      </c>
      <c r="H7" s="162">
        <f xml:space="preserve"> 'תקציב הלל'!J16 + 'תקציב הלל'!J30 + 'תקציב הלל'!J56</f>
        <v>9233.4021632047006</v>
      </c>
      <c r="I7" s="162">
        <f>SUM(B7:H7)</f>
        <v>505504.32535999513</v>
      </c>
    </row>
    <row r="8" spans="1:9">
      <c r="A8" s="155" t="s">
        <v>412</v>
      </c>
      <c r="B8" s="162">
        <f xml:space="preserve"> 'תקציב מנחם בגין'!J40</f>
        <v>337028.07145347079</v>
      </c>
      <c r="C8" s="162">
        <f xml:space="preserve"> 'תקציב מאמוניה'!J40</f>
        <v>64209.667614377708</v>
      </c>
      <c r="D8" s="162">
        <f xml:space="preserve"> 'תקציב עטרות'!J40</f>
        <v>12816.661522161619</v>
      </c>
      <c r="E8" s="162">
        <f xml:space="preserve"> 'תקציב חפציבה'!J40</f>
        <v>27621.053063920543</v>
      </c>
      <c r="F8" s="162">
        <f xml:space="preserve"> 'תקציב ג''נרלי'!J40</f>
        <v>47838.143165126115</v>
      </c>
      <c r="G8" s="162">
        <f xml:space="preserve"> 'תקציב רשות אוכלוסין'!J40</f>
        <v>18806.026318802546</v>
      </c>
      <c r="H8" s="162">
        <f xml:space="preserve"> 'תקציב הלל'!J40</f>
        <v>11557.597836795299</v>
      </c>
      <c r="I8" s="162">
        <f t="shared" ref="I8:I12" si="0">SUM(B8:H8)</f>
        <v>519877.2209746546</v>
      </c>
    </row>
    <row r="9" spans="1:9">
      <c r="A9" s="155" t="s">
        <v>414</v>
      </c>
      <c r="B9" s="162">
        <f xml:space="preserve"> 'תקציב מנחם בגין'!J48</f>
        <v>517937.71006666671</v>
      </c>
      <c r="C9" s="162">
        <f xml:space="preserve"> 'תקציב מאמוניה'!J48</f>
        <v>0</v>
      </c>
      <c r="D9" s="162">
        <f xml:space="preserve"> 'תקציב עטרות'!J48</f>
        <v>0</v>
      </c>
      <c r="E9" s="162">
        <f xml:space="preserve"> 'תקציב חפציבה'!J48</f>
        <v>49550.250090097608</v>
      </c>
      <c r="F9" s="162"/>
      <c r="G9" s="162"/>
      <c r="H9" s="162"/>
      <c r="I9" s="162">
        <f t="shared" si="0"/>
        <v>567487.96015676437</v>
      </c>
    </row>
    <row r="10" spans="1:9">
      <c r="A10" s="155" t="s">
        <v>413</v>
      </c>
      <c r="B10" s="162">
        <f xml:space="preserve"> 'תקציב מנחם בגין'!D14</f>
        <v>8783.84</v>
      </c>
      <c r="C10" s="162"/>
      <c r="D10" s="162"/>
      <c r="E10" s="162"/>
      <c r="F10" s="162"/>
      <c r="G10" s="162"/>
      <c r="H10" s="162"/>
      <c r="I10" s="162">
        <f t="shared" si="0"/>
        <v>8783.84</v>
      </c>
    </row>
    <row r="11" spans="1:9">
      <c r="A11" s="155" t="s">
        <v>350</v>
      </c>
      <c r="B11" s="162">
        <f xml:space="preserve"> 'תקציב מנחם בגין'!D15</f>
        <v>46576.856801517337</v>
      </c>
      <c r="C11" s="162">
        <f xml:space="preserve"> 'תקציב מאמוניה'!D14</f>
        <v>4923.143198482665</v>
      </c>
      <c r="D11" s="162">
        <f xml:space="preserve"> 'תקציב עטרות'!D14</f>
        <v>893.33333333333337</v>
      </c>
      <c r="E11" s="162">
        <f xml:space="preserve"> 'תקציב חפציבה'!D14</f>
        <v>6441.666666666667</v>
      </c>
      <c r="F11" s="162">
        <f xml:space="preserve"> 'תקציב ג''נרלי'!D14</f>
        <v>6833.3333333333339</v>
      </c>
      <c r="G11" s="162">
        <f xml:space="preserve"> 'תקציב רשות אוכלוסין'!D14</f>
        <v>5000</v>
      </c>
      <c r="H11" s="162">
        <v>2500</v>
      </c>
      <c r="I11" s="162">
        <f t="shared" si="0"/>
        <v>73168.333333333328</v>
      </c>
    </row>
    <row r="12" spans="1:9">
      <c r="A12" s="316" t="s">
        <v>417</v>
      </c>
      <c r="B12" s="300">
        <f>SUM(B7:B11)</f>
        <v>1165052.5167048082</v>
      </c>
      <c r="C12" s="300">
        <f t="shared" ref="C12:H12" si="1">SUM(C7:C11)</f>
        <v>116869.13235168011</v>
      </c>
      <c r="D12" s="300">
        <f t="shared" si="1"/>
        <v>19810.611556860804</v>
      </c>
      <c r="E12" s="300">
        <f t="shared" si="1"/>
        <v>162725.25127781855</v>
      </c>
      <c r="F12" s="300">
        <f t="shared" si="1"/>
        <v>122646.04395813499</v>
      </c>
      <c r="G12" s="300">
        <f t="shared" si="1"/>
        <v>64427.123975444643</v>
      </c>
      <c r="H12" s="300">
        <f t="shared" si="1"/>
        <v>23291</v>
      </c>
      <c r="I12" s="300">
        <f t="shared" si="0"/>
        <v>1674821.6798247474</v>
      </c>
    </row>
    <row r="13" spans="1:9">
      <c r="A13" s="157"/>
      <c r="B13" s="291"/>
      <c r="C13" s="291"/>
      <c r="D13" s="291"/>
      <c r="E13" s="302"/>
      <c r="F13" s="313"/>
      <c r="G13" s="314"/>
      <c r="H13" s="151"/>
      <c r="I13" s="151"/>
    </row>
    <row r="14" spans="1:9">
      <c r="A14" s="303" t="s">
        <v>279</v>
      </c>
      <c r="B14" s="162">
        <v>155000</v>
      </c>
      <c r="C14" s="162">
        <v>50000</v>
      </c>
      <c r="D14" s="162">
        <f xml:space="preserve"> 'תקציב עטרות'!D19</f>
        <v>0</v>
      </c>
      <c r="E14" s="162">
        <v>5000</v>
      </c>
      <c r="F14" s="162">
        <f xml:space="preserve"> 'תקציב ג''נרלי'!D19</f>
        <v>0</v>
      </c>
      <c r="G14" s="162"/>
      <c r="H14" s="162"/>
      <c r="I14" s="162">
        <f t="shared" ref="I14:I17" si="2">SUM(B14:H14)</f>
        <v>210000</v>
      </c>
    </row>
    <row r="15" spans="1:9">
      <c r="A15" s="303" t="s">
        <v>280</v>
      </c>
      <c r="B15" s="162">
        <v>25000</v>
      </c>
      <c r="C15" s="162">
        <v>10000</v>
      </c>
      <c r="D15" s="162">
        <f xml:space="preserve"> 'תקציב עטרות'!D20</f>
        <v>0</v>
      </c>
      <c r="E15" s="162">
        <v>6500</v>
      </c>
      <c r="F15" s="162">
        <f xml:space="preserve"> 'תקציב ג''נרלי'!D20</f>
        <v>0</v>
      </c>
      <c r="G15" s="162"/>
      <c r="H15" s="162"/>
      <c r="I15" s="162">
        <f t="shared" si="2"/>
        <v>41500</v>
      </c>
    </row>
    <row r="16" spans="1:9">
      <c r="A16" s="304" t="s">
        <v>416</v>
      </c>
      <c r="B16" s="162">
        <f xml:space="preserve"> B14 * 0.035 + B15 * 0.035</f>
        <v>6300.0000000000009</v>
      </c>
      <c r="C16" s="162">
        <f t="shared" ref="C16:H16" si="3" xml:space="preserve"> C14 * 0.035 + C15 * 0.035</f>
        <v>2100.0000000000005</v>
      </c>
      <c r="D16" s="162">
        <f t="shared" si="3"/>
        <v>0</v>
      </c>
      <c r="E16" s="162">
        <f t="shared" si="3"/>
        <v>402.50000000000006</v>
      </c>
      <c r="F16" s="162">
        <f t="shared" si="3"/>
        <v>0</v>
      </c>
      <c r="G16" s="162">
        <f t="shared" si="3"/>
        <v>0</v>
      </c>
      <c r="H16" s="162">
        <f t="shared" si="3"/>
        <v>0</v>
      </c>
      <c r="I16" s="162">
        <f t="shared" si="2"/>
        <v>8802.5000000000018</v>
      </c>
    </row>
    <row r="17" spans="1:9">
      <c r="A17" s="316" t="s">
        <v>418</v>
      </c>
      <c r="B17" s="300">
        <f>SUM(B14:B16)</f>
        <v>186300</v>
      </c>
      <c r="C17" s="300">
        <f t="shared" ref="C17:E17" si="4">SUM(C14:C16)</f>
        <v>62100</v>
      </c>
      <c r="D17" s="300">
        <f xml:space="preserve"> D5 * 12</f>
        <v>6432</v>
      </c>
      <c r="E17" s="300">
        <f t="shared" si="4"/>
        <v>11902.5</v>
      </c>
      <c r="F17" s="300">
        <f t="shared" ref="F17:H17" si="5" xml:space="preserve"> F5 * 12</f>
        <v>49200</v>
      </c>
      <c r="G17" s="300">
        <f t="shared" si="5"/>
        <v>30720</v>
      </c>
      <c r="H17" s="300">
        <f t="shared" si="5"/>
        <v>14676</v>
      </c>
      <c r="I17" s="300">
        <f t="shared" si="2"/>
        <v>361330.5</v>
      </c>
    </row>
    <row r="18" spans="1:9">
      <c r="A18" s="157"/>
      <c r="B18" s="291"/>
      <c r="C18" s="291"/>
      <c r="D18" s="291"/>
      <c r="E18" s="302"/>
      <c r="F18" s="313"/>
      <c r="G18" s="314"/>
      <c r="H18" s="151"/>
      <c r="I18" s="151"/>
    </row>
    <row r="19" spans="1:9">
      <c r="A19" s="316" t="s">
        <v>419</v>
      </c>
      <c r="B19" s="300">
        <f xml:space="preserve"> 'תקציב מנחם בגין'!E32</f>
        <v>327759.83999999997</v>
      </c>
      <c r="C19" s="300">
        <f xml:space="preserve"> 'תקציב מאמוניה'!E38</f>
        <v>34644</v>
      </c>
      <c r="D19" s="300">
        <f xml:space="preserve"> D5 * 12</f>
        <v>6432</v>
      </c>
      <c r="E19" s="300">
        <f xml:space="preserve"> 'תקציב חפציבה'!E37</f>
        <v>46380</v>
      </c>
      <c r="F19" s="300">
        <f t="shared" ref="F19:H19" si="6" xml:space="preserve"> F5 * 12</f>
        <v>49200</v>
      </c>
      <c r="G19" s="300">
        <f t="shared" si="6"/>
        <v>30720</v>
      </c>
      <c r="H19" s="300">
        <f t="shared" si="6"/>
        <v>14676</v>
      </c>
      <c r="I19" s="300">
        <f>SUM(B19:H19)</f>
        <v>509811.83999999997</v>
      </c>
    </row>
    <row r="20" spans="1:9">
      <c r="B20" s="148"/>
      <c r="D20" s="148"/>
      <c r="E20" s="148"/>
    </row>
    <row r="21" spans="1:9">
      <c r="A21" s="316" t="s">
        <v>234</v>
      </c>
      <c r="B21" s="300">
        <f xml:space="preserve"> B12 + B17 + B19</f>
        <v>1679112.3567048083</v>
      </c>
      <c r="C21" s="300">
        <f t="shared" ref="C21:H21" si="7" xml:space="preserve"> C12 + C17 + C19</f>
        <v>213613.13235168011</v>
      </c>
      <c r="D21" s="300">
        <f t="shared" si="7"/>
        <v>32674.611556860804</v>
      </c>
      <c r="E21" s="300">
        <f t="shared" si="7"/>
        <v>221007.75127781855</v>
      </c>
      <c r="F21" s="300">
        <f t="shared" si="7"/>
        <v>221046.04395813501</v>
      </c>
      <c r="G21" s="300">
        <f t="shared" si="7"/>
        <v>125867.12397544464</v>
      </c>
      <c r="H21" s="300">
        <f t="shared" si="7"/>
        <v>52643</v>
      </c>
      <c r="I21" s="300">
        <f>SUM(B21:H21)</f>
        <v>2545964.0198247475</v>
      </c>
    </row>
    <row r="22" spans="1:9">
      <c r="A22" s="316" t="s">
        <v>420</v>
      </c>
      <c r="B22" s="300">
        <f xml:space="preserve"> B21 * 1.17</f>
        <v>1964561.4573446256</v>
      </c>
      <c r="C22" s="300">
        <f t="shared" ref="C22:I22" si="8" xml:space="preserve"> C21 * 1.17</f>
        <v>249927.36485146571</v>
      </c>
      <c r="D22" s="300">
        <f t="shared" si="8"/>
        <v>38229.295521527136</v>
      </c>
      <c r="E22" s="300">
        <f t="shared" si="8"/>
        <v>258579.06899504768</v>
      </c>
      <c r="F22" s="300">
        <f t="shared" si="8"/>
        <v>258623.87143101793</v>
      </c>
      <c r="G22" s="300">
        <f t="shared" si="8"/>
        <v>147264.53505127021</v>
      </c>
      <c r="H22" s="300">
        <f t="shared" si="8"/>
        <v>61592.31</v>
      </c>
      <c r="I22" s="300">
        <f t="shared" si="8"/>
        <v>2978777.9031949542</v>
      </c>
    </row>
    <row r="23" spans="1:9">
      <c r="A23" s="294"/>
      <c r="B23" s="298"/>
      <c r="C23" s="298"/>
      <c r="D23" s="298"/>
    </row>
    <row r="24" spans="1:9">
      <c r="A24" s="294"/>
      <c r="B24" s="298"/>
      <c r="C24" s="298"/>
      <c r="D24" s="298"/>
      <c r="G24" s="151"/>
    </row>
    <row r="25" spans="1:9">
      <c r="A25" s="294"/>
      <c r="B25" s="298"/>
      <c r="C25" s="298"/>
      <c r="D25" s="298"/>
      <c r="G25" s="151"/>
    </row>
    <row r="26" spans="1:9">
      <c r="A26" s="294"/>
      <c r="B26" s="298"/>
      <c r="C26" s="298"/>
      <c r="D26" s="298"/>
      <c r="G26" s="174"/>
    </row>
    <row r="27" spans="1:9">
      <c r="A27" s="294"/>
      <c r="B27" s="298"/>
      <c r="C27" s="298"/>
      <c r="D27" s="298"/>
      <c r="G27" s="151"/>
    </row>
    <row r="28" spans="1:9">
      <c r="A28" s="294"/>
      <c r="B28" s="298"/>
      <c r="C28" s="298"/>
      <c r="D28" s="298"/>
    </row>
    <row r="29" spans="1:9">
      <c r="A29" s="294"/>
      <c r="B29" s="298"/>
      <c r="C29" s="298"/>
      <c r="D29" s="298"/>
    </row>
    <row r="30" spans="1:9">
      <c r="A30" s="294"/>
      <c r="B30" s="297"/>
      <c r="C30" s="294"/>
      <c r="D30" s="297"/>
    </row>
    <row r="36" spans="1:4" ht="19.5" thickBot="1"/>
    <row r="37" spans="1:4">
      <c r="A37" s="353"/>
      <c r="B37" s="353"/>
      <c r="C37" s="353"/>
      <c r="D37" s="354"/>
    </row>
    <row r="38" spans="1:4">
      <c r="A38" s="355"/>
      <c r="B38" s="355"/>
      <c r="C38" s="355"/>
      <c r="D38" s="356"/>
    </row>
    <row r="39" spans="1:4" ht="19.5" thickBot="1">
      <c r="A39" s="357"/>
      <c r="B39" s="357"/>
      <c r="C39" s="357"/>
      <c r="D39" s="358"/>
    </row>
    <row r="41" spans="1:4">
      <c r="A41" s="152" t="s">
        <v>371</v>
      </c>
    </row>
    <row r="42" spans="1:4">
      <c r="A42" s="152" t="s">
        <v>372</v>
      </c>
    </row>
    <row r="43" spans="1:4">
      <c r="A43" s="152" t="s">
        <v>373</v>
      </c>
    </row>
    <row r="44" spans="1:4">
      <c r="A44" s="152" t="s">
        <v>389</v>
      </c>
    </row>
    <row r="45" spans="1:4">
      <c r="A45" s="152" t="s">
        <v>388</v>
      </c>
    </row>
  </sheetData>
  <mergeCells count="2">
    <mergeCell ref="A37:D39"/>
    <mergeCell ref="A1:H1"/>
  </mergeCells>
  <pageMargins left="0.70866141732283505" right="0.70866141732283505" top="0.74803149606299202" bottom="0.74803149606299202" header="0.31496062992126" footer="0.31496062992126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zoomScale="80" zoomScaleNormal="80" workbookViewId="0">
      <selection activeCell="B1" sqref="B1:I1"/>
    </sheetView>
  </sheetViews>
  <sheetFormatPr defaultColWidth="9" defaultRowHeight="18.75"/>
  <cols>
    <col min="1" max="1" width="9" style="148"/>
    <col min="2" max="2" width="21.625" style="148" customWidth="1"/>
    <col min="3" max="3" width="55.6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5.1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34.125" style="148" customWidth="1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400</v>
      </c>
      <c r="C1" s="359"/>
      <c r="D1" s="359"/>
      <c r="E1" s="359"/>
      <c r="F1" s="359"/>
      <c r="G1" s="359"/>
      <c r="H1" s="359"/>
      <c r="I1" s="359"/>
    </row>
    <row r="2" spans="2:15" ht="26.25">
      <c r="B2" s="287"/>
      <c r="C2" s="287"/>
      <c r="D2" s="287"/>
      <c r="E2" s="287"/>
      <c r="F2" s="287"/>
      <c r="G2" s="287"/>
      <c r="H2" s="287"/>
    </row>
    <row r="3" spans="2:15" ht="26.25">
      <c r="B3" s="372"/>
      <c r="C3" s="373"/>
      <c r="D3" s="287"/>
      <c r="E3" s="287"/>
      <c r="F3" s="287"/>
      <c r="G3" s="287"/>
      <c r="H3" s="287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231</v>
      </c>
      <c r="D5" s="166" t="s">
        <v>401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f xml:space="preserve"> 'תקציב מנחם בגין'!D6 + 'תקציב מאמוניה'!D6 + 'תקציב עטרות'!D6 + 'תקציב חפציבה'!D6 + 'תקציב ג''נרלי'!D6 + 'תקציב רשות אוכלוסין'!D6 + 'תקציב הלל'!D6</f>
        <v>42484.32</v>
      </c>
      <c r="E6" s="151"/>
      <c r="F6" s="151"/>
      <c r="G6" s="151"/>
      <c r="H6" s="181"/>
      <c r="I6" s="152" t="s">
        <v>240</v>
      </c>
      <c r="J6" s="361">
        <f xml:space="preserve"> 'תקציב מנחם בגין'!J6 + 'תקציב מאמוניה'!J6 + 'תקציב עטרות'!J6 + 'תקציב חפציבה'!J6 + 'תקציב ג''נרלי'!J6 + 'תקציב רשות אוכלוסין'!J6 + 'תקציב הלל'!J6</f>
        <v>60409.387122879627</v>
      </c>
      <c r="K6" s="375">
        <f xml:space="preserve"> J6 / $D$6</f>
        <v>1.4219219496246998</v>
      </c>
      <c r="L6" s="361">
        <f xml:space="preserve"> K6 * 12</f>
        <v>17.063063395496396</v>
      </c>
      <c r="N6" s="184"/>
      <c r="O6" s="182"/>
    </row>
    <row r="7" spans="2:15">
      <c r="E7" s="151"/>
      <c r="I7" s="152" t="s">
        <v>241</v>
      </c>
      <c r="J7" s="363">
        <f xml:space="preserve"> 'תקציב מנחם בגין'!J7 + 'תקציב מאמוניה'!J7 + 'תקציב עטרות'!J7 + 'תקציב חפציבה'!J7 + 'תקציב ג''נרלי'!J7 + 'תקציב רשות אוכלוסין'!J7 + 'תקציב הלל'!J7</f>
        <v>0</v>
      </c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403</v>
      </c>
      <c r="I8" s="180" t="s">
        <v>243</v>
      </c>
      <c r="J8" s="162">
        <f xml:space="preserve"> 'תקציב מנחם בגין'!J8 + 'תקציב מאמוניה'!J8 + 'תקציב עטרות'!J8 + 'תקציב חפציבה'!J8 + 'תקציב ג''נרלי'!J8 + 'תקציב רשות אוכלוסין'!J8 + 'תקציב הלל'!J8</f>
        <v>0</v>
      </c>
      <c r="K8" s="278">
        <f xml:space="preserve"> J8 / $D$6</f>
        <v>0</v>
      </c>
      <c r="L8" s="279">
        <f xml:space="preserve"> K8 * 12</f>
        <v>0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J17</f>
        <v>60409.387122879627</v>
      </c>
      <c r="E9" s="162">
        <f t="shared" ref="E9:F9" si="0" xml:space="preserve"> K17</f>
        <v>1.4219219496246998</v>
      </c>
      <c r="F9" s="162">
        <f t="shared" si="0"/>
        <v>17.063063395496396</v>
      </c>
      <c r="G9" s="299">
        <f xml:space="preserve"> D9 * 12</f>
        <v>724912.64547455555</v>
      </c>
      <c r="H9" s="218"/>
      <c r="I9" s="180" t="s">
        <v>244</v>
      </c>
      <c r="J9" s="162">
        <f xml:space="preserve"> 'תקציב מנחם בגין'!J9 + 'תקציב מאמוניה'!J9 + 'תקציב עטרות'!J9 + 'תקציב חפציבה'!J9 + 'תקציב ג''נרלי'!J9 + 'תקציב רשות אוכלוסין'!J9 + 'תקציב הלל'!J9</f>
        <v>0</v>
      </c>
      <c r="K9" s="278">
        <f xml:space="preserve"> J9 / $D$6</f>
        <v>0</v>
      </c>
      <c r="L9" s="279">
        <f xml:space="preserve"> K9 * 12</f>
        <v>0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J29</f>
        <v>443005.75102612231</v>
      </c>
      <c r="E10" s="162">
        <f t="shared" ref="E10:F10" si="1" xml:space="preserve"> K29</f>
        <v>10.42751186852284</v>
      </c>
      <c r="F10" s="162">
        <f t="shared" si="1"/>
        <v>125.13014242227408</v>
      </c>
      <c r="G10" s="299">
        <f t="shared" ref="G10:G16" si="2" xml:space="preserve"> D10 * 12</f>
        <v>5316069.0123134675</v>
      </c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J39</f>
        <v>519877.2209746546</v>
      </c>
      <c r="E11" s="162">
        <f t="shared" ref="E11:F11" si="3" xml:space="preserve"> K39</f>
        <v>12.236919903029037</v>
      </c>
      <c r="F11" s="162">
        <f t="shared" si="3"/>
        <v>146.84303883634846</v>
      </c>
      <c r="G11" s="299">
        <f t="shared" si="2"/>
        <v>6238526.651695855</v>
      </c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J47</f>
        <v>567487.96015676437</v>
      </c>
      <c r="E12" s="162">
        <f t="shared" ref="E12:F12" si="4">K47</f>
        <v>13.357586049553444</v>
      </c>
      <c r="F12" s="162">
        <f t="shared" si="4"/>
        <v>160.29103259464131</v>
      </c>
      <c r="G12" s="299">
        <f t="shared" si="2"/>
        <v>6809855.5218811724</v>
      </c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J55</f>
        <v>2089.1872109931601</v>
      </c>
      <c r="E13" s="162">
        <f t="shared" ref="E13:F13" si="5">K55</f>
        <v>4.9175489003782102E-2</v>
      </c>
      <c r="F13" s="162">
        <f t="shared" si="5"/>
        <v>0.59010586804538523</v>
      </c>
      <c r="G13" s="299">
        <f t="shared" si="2"/>
        <v>25070.246531917921</v>
      </c>
      <c r="H13" s="218"/>
      <c r="I13" s="152"/>
      <c r="J13" s="171"/>
      <c r="K13" s="172"/>
      <c r="L13" s="171"/>
    </row>
    <row r="14" spans="2:15">
      <c r="B14" s="155">
        <v>6</v>
      </c>
      <c r="C14" s="155" t="s">
        <v>289</v>
      </c>
      <c r="D14" s="162">
        <f xml:space="preserve"> 'סיכום עלויות מנחם בגין ומאמוניה'!N43</f>
        <v>8783.84</v>
      </c>
      <c r="E14" s="162">
        <f xml:space="preserve"> D14 / $D$6</f>
        <v>0.20675486861976372</v>
      </c>
      <c r="F14" s="162">
        <f xml:space="preserve"> E14 * 12</f>
        <v>2.4810584234371644</v>
      </c>
      <c r="G14" s="299">
        <f t="shared" si="2"/>
        <v>105406.08</v>
      </c>
      <c r="H14" s="218"/>
      <c r="I14" s="152"/>
      <c r="J14" s="171"/>
      <c r="K14" s="172"/>
      <c r="L14" s="171"/>
    </row>
    <row r="15" spans="2:15">
      <c r="B15" s="155">
        <v>6</v>
      </c>
      <c r="C15" s="155" t="s">
        <v>350</v>
      </c>
      <c r="D15" s="162">
        <f xml:space="preserve"> 'סיכום עלויות חודשי - צמוד 01.17'!L43</f>
        <v>46576.856801517337</v>
      </c>
      <c r="E15" s="162">
        <f xml:space="preserve"> D15 / $D$6</f>
        <v>1.0963305238619174</v>
      </c>
      <c r="F15" s="162">
        <f xml:space="preserve"> E15 * 12</f>
        <v>13.155966286343009</v>
      </c>
      <c r="G15" s="299">
        <f t="shared" si="2"/>
        <v>558922.28161820804</v>
      </c>
      <c r="H15" s="218"/>
      <c r="I15" s="152"/>
      <c r="J15" s="171"/>
      <c r="K15" s="172"/>
      <c r="L15" s="171"/>
    </row>
    <row r="16" spans="2:15" ht="19.5" thickBot="1">
      <c r="B16" s="360" t="s">
        <v>33</v>
      </c>
      <c r="C16" s="360"/>
      <c r="D16" s="300">
        <f>SUM(D9:D15)</f>
        <v>1648230.2032929314</v>
      </c>
      <c r="E16" s="300">
        <f t="shared" ref="E16:F16" si="6">SUM(E9:E15)</f>
        <v>38.796200652215482</v>
      </c>
      <c r="F16" s="300">
        <f t="shared" si="6"/>
        <v>465.55440782658582</v>
      </c>
      <c r="G16" s="301">
        <f t="shared" si="2"/>
        <v>19778762.439515177</v>
      </c>
      <c r="H16" s="218"/>
      <c r="I16" s="152"/>
      <c r="J16" s="171"/>
      <c r="K16" s="172"/>
      <c r="L16" s="171"/>
    </row>
    <row r="17" spans="1:13" ht="19.5" thickBot="1">
      <c r="B17" s="190" t="s">
        <v>233</v>
      </c>
      <c r="C17" s="191"/>
      <c r="D17" s="163" t="s">
        <v>277</v>
      </c>
      <c r="E17" s="163" t="s">
        <v>277</v>
      </c>
      <c r="F17" s="192" t="s">
        <v>277</v>
      </c>
      <c r="I17" s="155" t="s">
        <v>250</v>
      </c>
      <c r="J17" s="195">
        <f>SUM(J6:J13)</f>
        <v>60409.387122879627</v>
      </c>
      <c r="K17" s="195">
        <f>SUM(K6:K13)</f>
        <v>1.4219219496246998</v>
      </c>
      <c r="L17" s="195">
        <f>SUM(L6:L13)</f>
        <v>17.063063395496396</v>
      </c>
    </row>
    <row r="18" spans="1:13" ht="19.5" thickBot="1">
      <c r="B18" s="190"/>
      <c r="C18" s="191"/>
      <c r="D18" s="154" t="s">
        <v>273</v>
      </c>
      <c r="E18" s="154" t="s">
        <v>242</v>
      </c>
      <c r="F18" s="154" t="s">
        <v>238</v>
      </c>
      <c r="G18" s="154" t="s">
        <v>403</v>
      </c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3">
      <c r="B19" s="155">
        <v>6</v>
      </c>
      <c r="C19" s="303" t="s">
        <v>279</v>
      </c>
      <c r="D19" s="286">
        <f xml:space="preserve"> 'תקציב מנחם בגין'!D20 + 'תקציב מאמוניה'!D19 + 'תקציב עטרות'!D19 + 'תקציב חפציבה'!D19 + 'תקציב ג''נרלי'!D19 + 'תקציב רשות אוכלוסין'!D19 + 'תקציב הלל'!D19</f>
        <v>182700</v>
      </c>
      <c r="E19" s="186">
        <f xml:space="preserve"> D19 / $D$6</f>
        <v>4.3004101277836151</v>
      </c>
      <c r="F19" s="187">
        <f xml:space="preserve"> E19 * 12</f>
        <v>51.604921533403385</v>
      </c>
      <c r="G19" s="299">
        <f xml:space="preserve"> D19 * 12</f>
        <v>2192400</v>
      </c>
      <c r="I19" s="152" t="s">
        <v>251</v>
      </c>
      <c r="J19" s="196"/>
      <c r="K19" s="161">
        <f xml:space="preserve"> J19 / $D$6</f>
        <v>0</v>
      </c>
      <c r="L19" s="162">
        <f xml:space="preserve"> K19 * 12</f>
        <v>0</v>
      </c>
    </row>
    <row r="20" spans="1:13">
      <c r="B20" s="155">
        <v>7</v>
      </c>
      <c r="C20" s="303" t="s">
        <v>280</v>
      </c>
      <c r="D20" s="286">
        <f xml:space="preserve"> 'תקציב מנחם בגין'!D21 + 'תקציב מאמוניה'!D20 + 'תקציב עטרות'!D20 + 'תקציב חפציבה'!D20 + 'תקציב ג''נרלי'!D20 + 'תקציב רשות אוכלוסין'!D20 + 'תקציב הלל'!D20</f>
        <v>16000</v>
      </c>
      <c r="E20" s="186">
        <f xml:space="preserve"> D20 / $D$6</f>
        <v>0.37660953500020716</v>
      </c>
      <c r="F20" s="187">
        <f xml:space="preserve"> E20 * 12</f>
        <v>4.5193144200024857</v>
      </c>
      <c r="G20" s="299">
        <f xml:space="preserve"> D20 * 12</f>
        <v>192000</v>
      </c>
      <c r="I20" s="175" t="s">
        <v>252</v>
      </c>
      <c r="J20" s="361"/>
      <c r="K20" s="361">
        <f xml:space="preserve"> J20 / $D$6</f>
        <v>0</v>
      </c>
      <c r="L20" s="361">
        <f t="shared" ref="L20" si="7" xml:space="preserve"> K20 * 12</f>
        <v>0</v>
      </c>
    </row>
    <row r="21" spans="1:13">
      <c r="B21" s="155">
        <v>8</v>
      </c>
      <c r="C21" s="304" t="s">
        <v>253</v>
      </c>
      <c r="D21" s="364" t="s">
        <v>281</v>
      </c>
      <c r="E21" s="364"/>
      <c r="F21" s="364"/>
      <c r="G21" s="188"/>
      <c r="I21" s="176" t="s">
        <v>254</v>
      </c>
      <c r="J21" s="362"/>
      <c r="K21" s="362"/>
      <c r="L21" s="362"/>
    </row>
    <row r="22" spans="1:13" ht="19.5" thickBot="1">
      <c r="D22" s="188"/>
      <c r="E22" s="152"/>
      <c r="F22" s="188"/>
      <c r="G22" s="188"/>
      <c r="I22" s="152" t="s">
        <v>255</v>
      </c>
      <c r="J22" s="362"/>
      <c r="K22" s="362"/>
      <c r="L22" s="362"/>
    </row>
    <row r="23" spans="1:13" ht="19.5" thickBot="1">
      <c r="B23" s="305" t="s">
        <v>404</v>
      </c>
      <c r="C23" s="306">
        <v>3.5000000000000003E-2</v>
      </c>
      <c r="D23" s="300">
        <f xml:space="preserve"> (D19 + D20) * 1.035</f>
        <v>205654.49999999997</v>
      </c>
      <c r="E23" s="307">
        <f xml:space="preserve"> D23 / $D$6</f>
        <v>4.840715350981255</v>
      </c>
      <c r="F23" s="308">
        <f xml:space="preserve"> E23 * 12</f>
        <v>58.088584211775057</v>
      </c>
      <c r="G23" s="301">
        <f xml:space="preserve"> D23 * 12</f>
        <v>2467853.9999999995</v>
      </c>
      <c r="I23" s="152" t="s">
        <v>256</v>
      </c>
      <c r="J23" s="362"/>
      <c r="K23" s="362"/>
      <c r="L23" s="362"/>
    </row>
    <row r="24" spans="1:13">
      <c r="B24" s="157"/>
      <c r="C24" s="158"/>
      <c r="D24" s="154" t="s">
        <v>273</v>
      </c>
      <c r="E24" s="154" t="s">
        <v>242</v>
      </c>
      <c r="F24" s="154" t="s">
        <v>238</v>
      </c>
      <c r="G24" s="154" t="s">
        <v>403</v>
      </c>
      <c r="I24" s="152" t="s">
        <v>257</v>
      </c>
      <c r="J24" s="362"/>
      <c r="K24" s="362"/>
      <c r="L24" s="362"/>
    </row>
    <row r="25" spans="1:13">
      <c r="B25" s="155" t="s">
        <v>234</v>
      </c>
      <c r="C25" s="152"/>
      <c r="D25" s="162">
        <f>SUM(D23,D19:D21,D18,D9:D13)</f>
        <v>1997224.006491414</v>
      </c>
      <c r="E25" s="164">
        <f xml:space="preserve"> E16 + E19 + E20 + E23</f>
        <v>48.313935665980559</v>
      </c>
      <c r="F25" s="164">
        <f xml:space="preserve"> F16 + F19 + F20 + F23</f>
        <v>579.76722799176673</v>
      </c>
      <c r="G25" s="302">
        <f xml:space="preserve"> D25 * 12</f>
        <v>23966688.077896968</v>
      </c>
      <c r="I25" s="152" t="s">
        <v>258</v>
      </c>
      <c r="J25" s="362"/>
      <c r="K25" s="362"/>
      <c r="L25" s="362"/>
    </row>
    <row r="26" spans="1:13">
      <c r="B26" s="155" t="s">
        <v>235</v>
      </c>
      <c r="C26" s="160">
        <v>0.17</v>
      </c>
      <c r="D26" s="162">
        <f>D25*0.17</f>
        <v>339528.08110354043</v>
      </c>
      <c r="E26" s="162">
        <f t="shared" ref="E26:F26" si="8">E25*0.17</f>
        <v>8.213369063216696</v>
      </c>
      <c r="F26" s="162">
        <f t="shared" si="8"/>
        <v>98.560428758600352</v>
      </c>
      <c r="G26" s="302">
        <f t="shared" ref="G26:G27" si="9" xml:space="preserve"> D26 * 12</f>
        <v>4074336.973242485</v>
      </c>
      <c r="I26" s="180" t="s">
        <v>363</v>
      </c>
      <c r="J26" s="363"/>
      <c r="K26" s="363"/>
      <c r="L26" s="363"/>
      <c r="M26" s="280" t="s">
        <v>369</v>
      </c>
    </row>
    <row r="27" spans="1:13">
      <c r="B27" s="310" t="s">
        <v>236</v>
      </c>
      <c r="C27" s="311"/>
      <c r="D27" s="300">
        <f>D26+D25</f>
        <v>2336752.0875949543</v>
      </c>
      <c r="E27" s="300">
        <f t="shared" ref="E27:F27" si="10">E26+E25</f>
        <v>56.527304729197255</v>
      </c>
      <c r="F27" s="300">
        <f t="shared" si="10"/>
        <v>678.32765675036705</v>
      </c>
      <c r="G27" s="309">
        <f t="shared" si="9"/>
        <v>28041025.051139452</v>
      </c>
      <c r="I27" s="176" t="s">
        <v>275</v>
      </c>
      <c r="K27" s="161">
        <f xml:space="preserve"> J27 / $D$6</f>
        <v>0</v>
      </c>
      <c r="L27" s="162">
        <f xml:space="preserve"> K27 * 12</f>
        <v>0</v>
      </c>
    </row>
    <row r="28" spans="1:13">
      <c r="E28" s="151"/>
      <c r="I28" s="176" t="s">
        <v>246</v>
      </c>
      <c r="J28" s="162"/>
      <c r="K28" s="197"/>
      <c r="L28" s="162"/>
    </row>
    <row r="29" spans="1:13" ht="19.5" thickBot="1">
      <c r="D29" s="148"/>
      <c r="F29" s="148"/>
      <c r="G29" s="148"/>
      <c r="I29" s="178" t="s">
        <v>33</v>
      </c>
      <c r="J29" s="195">
        <f xml:space="preserve"> 'תקציב מנחם בגין'!J30 + 'תקציב מאמוניה'!J30 + 'תקציב עטרות'!J30 + 'תקציב חפציבה'!J30 + 'תקציב ג''נרלי'!J30 + 'תקציב רשות אוכלוסין'!J30 + 'תקציב הלל'!J30</f>
        <v>443005.75102612231</v>
      </c>
      <c r="K29" s="195">
        <f xml:space="preserve"> J29 / $D$6</f>
        <v>10.42751186852284</v>
      </c>
      <c r="L29" s="195">
        <f xml:space="preserve"> K29 * 12</f>
        <v>125.13014242227408</v>
      </c>
    </row>
    <row r="30" spans="1:13">
      <c r="C30" s="248" t="s">
        <v>405</v>
      </c>
      <c r="D30" s="249" t="s">
        <v>326</v>
      </c>
      <c r="E30" s="249" t="s">
        <v>325</v>
      </c>
      <c r="F30" s="166" t="s">
        <v>324</v>
      </c>
      <c r="G30" s="166"/>
      <c r="I30" s="179"/>
      <c r="J30" s="174"/>
      <c r="K30" s="151"/>
      <c r="L30" s="174"/>
    </row>
    <row r="31" spans="1:13" ht="19.5" thickBot="1">
      <c r="A31" s="151"/>
      <c r="C31" s="250">
        <v>12</v>
      </c>
      <c r="D31" s="251">
        <f xml:space="preserve"> D6 - 1223 - 4100-2560</f>
        <v>34601.32</v>
      </c>
      <c r="E31" s="252">
        <f xml:space="preserve"> D31 * C31</f>
        <v>415215.83999999997</v>
      </c>
      <c r="F31" s="253">
        <f xml:space="preserve"> E31 * 12</f>
        <v>4982590.08</v>
      </c>
      <c r="G31" s="253"/>
      <c r="I31" s="167" t="s">
        <v>247</v>
      </c>
      <c r="J31" s="168" t="s">
        <v>273</v>
      </c>
      <c r="K31" s="168" t="s">
        <v>239</v>
      </c>
      <c r="L31" s="168" t="s">
        <v>238</v>
      </c>
    </row>
    <row r="32" spans="1:13">
      <c r="C32" s="151"/>
      <c r="D32" s="185"/>
      <c r="E32" s="151"/>
      <c r="F32" s="185"/>
      <c r="I32" s="152" t="s">
        <v>260</v>
      </c>
      <c r="J32" s="198"/>
      <c r="K32" s="161">
        <f xml:space="preserve"> J32 / $D$6</f>
        <v>0</v>
      </c>
      <c r="L32" s="162">
        <f xml:space="preserve"> K32 * 12</f>
        <v>0</v>
      </c>
    </row>
    <row r="33" spans="2:14">
      <c r="C33" s="294"/>
      <c r="D33" s="297"/>
      <c r="E33" s="294"/>
      <c r="F33" s="297"/>
      <c r="G33" s="221"/>
      <c r="I33" s="152" t="s">
        <v>261</v>
      </c>
      <c r="J33" s="162"/>
      <c r="K33" s="172"/>
      <c r="L33" s="171"/>
    </row>
    <row r="34" spans="2:14">
      <c r="C34" s="294"/>
      <c r="D34" s="298"/>
      <c r="E34" s="298"/>
      <c r="F34" s="298"/>
      <c r="I34" s="152" t="s">
        <v>262</v>
      </c>
      <c r="J34" s="162"/>
      <c r="K34" s="161">
        <f xml:space="preserve"> J34 / $D$6</f>
        <v>0</v>
      </c>
      <c r="L34" s="162">
        <f xml:space="preserve"> K34 * 12</f>
        <v>0</v>
      </c>
    </row>
    <row r="35" spans="2:14">
      <c r="C35" s="294"/>
      <c r="D35" s="298"/>
      <c r="E35" s="298"/>
      <c r="F35" s="298"/>
      <c r="I35" s="180" t="s">
        <v>263</v>
      </c>
      <c r="J35" s="162"/>
      <c r="K35" s="161">
        <f xml:space="preserve"> J35 / $D$6</f>
        <v>0</v>
      </c>
      <c r="L35" s="162">
        <f xml:space="preserve"> K35 * 12</f>
        <v>0</v>
      </c>
      <c r="N35" s="151"/>
    </row>
    <row r="36" spans="2:14">
      <c r="C36" s="294"/>
      <c r="D36" s="298"/>
      <c r="E36" s="298"/>
      <c r="F36" s="298"/>
      <c r="I36" s="152" t="s">
        <v>264</v>
      </c>
      <c r="J36" s="162"/>
      <c r="K36" s="172"/>
      <c r="L36" s="171"/>
      <c r="N36" s="151"/>
    </row>
    <row r="37" spans="2:14">
      <c r="C37" s="294"/>
      <c r="D37" s="298"/>
      <c r="E37" s="298"/>
      <c r="F37" s="298"/>
      <c r="I37" s="152" t="s">
        <v>246</v>
      </c>
      <c r="J37" s="162"/>
      <c r="K37" s="172"/>
      <c r="L37" s="171"/>
      <c r="N37" s="174"/>
    </row>
    <row r="38" spans="2:14">
      <c r="C38" s="294"/>
      <c r="D38" s="298"/>
      <c r="E38" s="298"/>
      <c r="F38" s="298"/>
      <c r="I38" s="180" t="s">
        <v>276</v>
      </c>
      <c r="J38" s="162"/>
      <c r="K38" s="161">
        <f xml:space="preserve"> J38 / $D$6</f>
        <v>0</v>
      </c>
      <c r="L38" s="162">
        <f xml:space="preserve"> K38 * 12</f>
        <v>0</v>
      </c>
      <c r="N38" s="151"/>
    </row>
    <row r="39" spans="2:14">
      <c r="C39" s="294"/>
      <c r="D39" s="298"/>
      <c r="E39" s="298"/>
      <c r="F39" s="298"/>
      <c r="I39" s="155" t="s">
        <v>33</v>
      </c>
      <c r="J39" s="195">
        <f xml:space="preserve"> 'תקציב מנחם בגין'!J40 + 'תקציב מאמוניה'!J40 + 'תקציב עטרות'!J40 + 'תקציב חפציבה'!J40 + 'תקציב ג''נרלי'!J40 + 'תקציב רשות אוכלוסין'!J40 + 'תקציב הלל'!J40</f>
        <v>519877.2209746546</v>
      </c>
      <c r="K39" s="195">
        <f xml:space="preserve"> J39 / $D$6</f>
        <v>12.236919903029037</v>
      </c>
      <c r="L39" s="195">
        <f xml:space="preserve"> K39 * 12</f>
        <v>146.84303883634846</v>
      </c>
    </row>
    <row r="40" spans="2:14">
      <c r="C40" s="294"/>
      <c r="D40" s="298"/>
      <c r="E40" s="298"/>
      <c r="F40" s="298"/>
      <c r="I40" s="151"/>
      <c r="J40" s="174"/>
      <c r="K40" s="151"/>
      <c r="L40" s="174"/>
    </row>
    <row r="41" spans="2:14">
      <c r="C41" s="294"/>
      <c r="D41" s="297"/>
      <c r="E41" s="294"/>
      <c r="F41" s="297"/>
      <c r="I41" s="167" t="s">
        <v>265</v>
      </c>
      <c r="J41" s="168" t="s">
        <v>273</v>
      </c>
      <c r="K41" s="168" t="s">
        <v>239</v>
      </c>
      <c r="L41" s="168" t="s">
        <v>238</v>
      </c>
    </row>
    <row r="42" spans="2:14">
      <c r="I42" s="180" t="s">
        <v>365</v>
      </c>
      <c r="J42" s="198"/>
      <c r="K42" s="161">
        <f xml:space="preserve"> J42 / $D$6</f>
        <v>0</v>
      </c>
      <c r="L42" s="162">
        <f xml:space="preserve"> K42 * 12</f>
        <v>0</v>
      </c>
    </row>
    <row r="43" spans="2:14">
      <c r="I43" s="180" t="s">
        <v>366</v>
      </c>
      <c r="J43" s="198"/>
      <c r="K43" s="161">
        <f t="shared" ref="K43:K45" si="11" xml:space="preserve"> J43 / $D$6</f>
        <v>0</v>
      </c>
      <c r="L43" s="162">
        <f t="shared" ref="L43:L45" si="12" xml:space="preserve"> K43 * 12</f>
        <v>0</v>
      </c>
    </row>
    <row r="44" spans="2:14">
      <c r="I44" s="152" t="s">
        <v>364</v>
      </c>
      <c r="J44" s="198"/>
      <c r="K44" s="161">
        <f t="shared" si="11"/>
        <v>0</v>
      </c>
      <c r="L44" s="162">
        <f t="shared" si="12"/>
        <v>0</v>
      </c>
    </row>
    <row r="45" spans="2:14">
      <c r="I45" s="152" t="s">
        <v>367</v>
      </c>
      <c r="J45" s="198"/>
      <c r="K45" s="161">
        <f t="shared" si="11"/>
        <v>0</v>
      </c>
      <c r="L45" s="162">
        <f t="shared" si="12"/>
        <v>0</v>
      </c>
      <c r="M45" s="280" t="s">
        <v>368</v>
      </c>
    </row>
    <row r="46" spans="2:14">
      <c r="I46" s="152"/>
      <c r="J46" s="198"/>
      <c r="K46" s="161"/>
      <c r="L46" s="162"/>
    </row>
    <row r="47" spans="2:14" ht="19.5" thickBot="1">
      <c r="I47" s="155" t="s">
        <v>33</v>
      </c>
      <c r="J47" s="195">
        <f xml:space="preserve"> 'תקציב מנחם בגין'!J48 + 'תקציב מאמוניה'!J48 + 'תקציב עטרות'!J48 + 'תקציב חפציבה'!J48 + 'תקציב ג''נרלי'!J48 + 'תקציב רשות אוכלוסין'!J48 + 'תקציב הלל'!J48</f>
        <v>567487.96015676437</v>
      </c>
      <c r="K47" s="195">
        <f xml:space="preserve"> J47 / $D$6</f>
        <v>13.357586049553444</v>
      </c>
      <c r="L47" s="195">
        <f xml:space="preserve"> K47 * 12</f>
        <v>160.29103259464131</v>
      </c>
    </row>
    <row r="48" spans="2:14">
      <c r="B48" s="365" t="s">
        <v>360</v>
      </c>
      <c r="C48" s="353"/>
      <c r="D48" s="353"/>
      <c r="E48" s="353"/>
      <c r="F48" s="354"/>
      <c r="I48" s="151"/>
      <c r="J48" s="174"/>
      <c r="K48" s="151"/>
      <c r="L48" s="174"/>
    </row>
    <row r="49" spans="2:12">
      <c r="B49" s="366"/>
      <c r="C49" s="355"/>
      <c r="D49" s="355"/>
      <c r="E49" s="355"/>
      <c r="F49" s="356"/>
      <c r="I49" s="167" t="s">
        <v>249</v>
      </c>
      <c r="J49" s="168" t="s">
        <v>273</v>
      </c>
      <c r="K49" s="168" t="s">
        <v>239</v>
      </c>
      <c r="L49" s="168" t="s">
        <v>238</v>
      </c>
    </row>
    <row r="50" spans="2:12" ht="19.5" thickBot="1">
      <c r="B50" s="367"/>
      <c r="C50" s="357"/>
      <c r="D50" s="357"/>
      <c r="E50" s="357"/>
      <c r="F50" s="358"/>
      <c r="I50" s="152" t="s">
        <v>270</v>
      </c>
      <c r="J50" s="368"/>
      <c r="K50" s="368">
        <f xml:space="preserve"> J50/ $D$6</f>
        <v>0</v>
      </c>
      <c r="L50" s="368">
        <f xml:space="preserve"> K50 * 12</f>
        <v>0</v>
      </c>
    </row>
    <row r="51" spans="2:12">
      <c r="I51" s="152" t="s">
        <v>271</v>
      </c>
      <c r="J51" s="369"/>
      <c r="K51" s="369"/>
      <c r="L51" s="369"/>
    </row>
    <row r="52" spans="2:12">
      <c r="B52" s="371" t="s">
        <v>370</v>
      </c>
      <c r="C52" s="152" t="s">
        <v>371</v>
      </c>
      <c r="I52" s="152" t="s">
        <v>272</v>
      </c>
      <c r="J52" s="370"/>
      <c r="K52" s="370"/>
      <c r="L52" s="370"/>
    </row>
    <row r="53" spans="2:12">
      <c r="B53" s="371"/>
      <c r="C53" s="152" t="s">
        <v>372</v>
      </c>
      <c r="I53" s="180" t="s">
        <v>246</v>
      </c>
      <c r="J53" s="171"/>
      <c r="K53" s="172"/>
      <c r="L53" s="171"/>
    </row>
    <row r="54" spans="2:12">
      <c r="B54" s="371"/>
      <c r="C54" s="152" t="s">
        <v>373</v>
      </c>
      <c r="I54" s="180"/>
      <c r="J54" s="171"/>
      <c r="K54" s="172"/>
      <c r="L54" s="171"/>
    </row>
    <row r="55" spans="2:12">
      <c r="B55" s="371"/>
      <c r="C55" s="152" t="s">
        <v>389</v>
      </c>
      <c r="I55" s="155" t="s">
        <v>33</v>
      </c>
      <c r="J55" s="194">
        <f xml:space="preserve"> 'תקציב מנחם בגין'!J56 + 'תקציב מאמוניה'!J56 + 'תקציב עטרות'!J56 + 'תקציב חפציבה'!J56 + 'תקציב ג''נרלי'!J56 + 'תקציב רשות אוכלוסין'!J56 + 'תקציב הלל'!J56</f>
        <v>2089.1872109931601</v>
      </c>
      <c r="K55" s="194">
        <f xml:space="preserve"> J55 / $D$6</f>
        <v>4.9175489003782102E-2</v>
      </c>
      <c r="L55" s="194">
        <f xml:space="preserve"> K55 * 12</f>
        <v>0.59010586804538523</v>
      </c>
    </row>
    <row r="56" spans="2:12">
      <c r="B56" s="371"/>
      <c r="C56" s="152" t="s">
        <v>388</v>
      </c>
      <c r="I56" s="174"/>
      <c r="J56" s="151"/>
      <c r="K56" s="151"/>
      <c r="L56" s="151"/>
    </row>
    <row r="57" spans="2:12">
      <c r="K57" s="218"/>
    </row>
  </sheetData>
  <mergeCells count="16">
    <mergeCell ref="L6:L7"/>
    <mergeCell ref="B1:I1"/>
    <mergeCell ref="B3:C3"/>
    <mergeCell ref="D4:J4"/>
    <mergeCell ref="J6:J7"/>
    <mergeCell ref="K6:K7"/>
    <mergeCell ref="B48:F50"/>
    <mergeCell ref="J50:J52"/>
    <mergeCell ref="K50:K52"/>
    <mergeCell ref="L50:L52"/>
    <mergeCell ref="B52:B56"/>
    <mergeCell ref="B16:C16"/>
    <mergeCell ref="J20:J26"/>
    <mergeCell ref="K20:K26"/>
    <mergeCell ref="L20:L26"/>
    <mergeCell ref="D21:F21"/>
  </mergeCells>
  <pageMargins left="0.70866141732283505" right="0.70866141732283505" top="0.74803149606299202" bottom="0.74803149606299202" header="0.31496062992126" footer="0.31496062992126"/>
  <pageSetup paperSize="9" scale="4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A16" zoomScale="80" zoomScaleNormal="80" workbookViewId="0">
      <selection activeCell="D26" sqref="D26"/>
    </sheetView>
  </sheetViews>
  <sheetFormatPr defaultColWidth="9" defaultRowHeight="18.75"/>
  <cols>
    <col min="1" max="1" width="9" style="148"/>
    <col min="2" max="2" width="16.625" style="148" customWidth="1"/>
    <col min="3" max="3" width="52.125" style="148" customWidth="1"/>
    <col min="4" max="4" width="16.75" style="153" bestFit="1" customWidth="1"/>
    <col min="5" max="5" width="15.625" style="148" customWidth="1"/>
    <col min="6" max="7" width="16" style="153" customWidth="1"/>
    <col min="8" max="8" width="28" style="148" customWidth="1"/>
    <col min="9" max="9" width="36.6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287"/>
      <c r="C2" s="287"/>
      <c r="D2" s="287"/>
      <c r="E2" s="287"/>
      <c r="F2" s="287"/>
      <c r="G2" s="287"/>
      <c r="H2" s="287"/>
    </row>
    <row r="3" spans="2:15" ht="26.25">
      <c r="B3" s="372"/>
      <c r="C3" s="373"/>
      <c r="D3" s="287"/>
      <c r="E3" s="287"/>
      <c r="F3" s="287"/>
      <c r="G3" s="287"/>
      <c r="H3" s="287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318</v>
      </c>
      <c r="D5" s="166" t="s">
        <v>402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v>1223</v>
      </c>
      <c r="E6" s="151"/>
      <c r="F6" s="151"/>
      <c r="G6" s="151"/>
      <c r="H6" s="181"/>
      <c r="I6" s="152" t="s">
        <v>240</v>
      </c>
      <c r="J6" s="361"/>
      <c r="K6" s="375">
        <f xml:space="preserve"> J6 / $D$6</f>
        <v>0</v>
      </c>
      <c r="L6" s="361">
        <f xml:space="preserve"> K6 * 12</f>
        <v>0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J16</f>
        <v>0</v>
      </c>
      <c r="E9" s="162">
        <f t="shared" ref="E9:F9" si="0" xml:space="preserve"> K16</f>
        <v>0</v>
      </c>
      <c r="F9" s="162">
        <f t="shared" si="0"/>
        <v>0</v>
      </c>
      <c r="G9" s="188"/>
      <c r="H9" s="21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9233.4021632047006</v>
      </c>
      <c r="E10" s="162">
        <f t="shared" ref="E10:F10" si="1" xml:space="preserve"> K30</f>
        <v>7.549797353397139</v>
      </c>
      <c r="F10" s="162">
        <f t="shared" si="1"/>
        <v>90.597568240765668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11557.597836795299</v>
      </c>
      <c r="E11" s="162">
        <f t="shared" ref="E11:F11" si="2" xml:space="preserve"> K40</f>
        <v>9.450202646602861</v>
      </c>
      <c r="F11" s="162">
        <f t="shared" si="2"/>
        <v>113.40243175923433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0</v>
      </c>
      <c r="E12" s="162">
        <f t="shared" ref="E12:F12" si="3">K48</f>
        <v>0</v>
      </c>
      <c r="F12" s="162">
        <f t="shared" si="3"/>
        <v>0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0</v>
      </c>
      <c r="E13" s="162">
        <f t="shared" ref="E13:F13" si="4">K56</f>
        <v>0</v>
      </c>
      <c r="F13" s="162">
        <f t="shared" si="4"/>
        <v>0</v>
      </c>
      <c r="G13" s="188"/>
      <c r="H13" s="21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/>
      <c r="E14" s="162">
        <f xml:space="preserve"> D14 / $D$6</f>
        <v>0</v>
      </c>
      <c r="F14" s="162">
        <f xml:space="preserve"> E14 * 12</f>
        <v>0</v>
      </c>
      <c r="G14" s="189" t="s">
        <v>278</v>
      </c>
      <c r="H14" s="218"/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20791</v>
      </c>
      <c r="E15" s="162">
        <f>SUM(E9:E14)</f>
        <v>17</v>
      </c>
      <c r="F15" s="162">
        <f>SUM(F9:F14)</f>
        <v>204</v>
      </c>
      <c r="G15" s="188"/>
      <c r="H15" s="21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0</v>
      </c>
      <c r="K16" s="195">
        <f>SUM(K6:K13)</f>
        <v>0</v>
      </c>
      <c r="L16" s="195">
        <f>SUM(L6:L13)</f>
        <v>0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279</v>
      </c>
      <c r="D19" s="161"/>
      <c r="E19" s="186">
        <f xml:space="preserve"> D19 / $D$6</f>
        <v>0</v>
      </c>
      <c r="F19" s="187">
        <f xml:space="preserve"> E19 * 12</f>
        <v>0</v>
      </c>
      <c r="G19" s="188" t="s">
        <v>306</v>
      </c>
      <c r="I19" s="152" t="s">
        <v>251</v>
      </c>
      <c r="J19" s="378">
        <f xml:space="preserve"> 'סיכום עלויות  - הלל'!G7</f>
        <v>9233.4021632047006</v>
      </c>
      <c r="K19" s="361">
        <f xml:space="preserve"> J19 / $D$6</f>
        <v>7.549797353397139</v>
      </c>
      <c r="L19" s="361">
        <f xml:space="preserve"> K19 * 12</f>
        <v>90.597568240765668</v>
      </c>
    </row>
    <row r="20" spans="1:12">
      <c r="B20" s="155">
        <v>7</v>
      </c>
      <c r="C20" s="155" t="s">
        <v>280</v>
      </c>
      <c r="D20" s="161"/>
      <c r="E20" s="186">
        <f xml:space="preserve"> D20 / $D$6</f>
        <v>0</v>
      </c>
      <c r="F20" s="187">
        <f xml:space="preserve"> E20 * 12</f>
        <v>0</v>
      </c>
      <c r="G20" s="188" t="s">
        <v>306</v>
      </c>
      <c r="I20" s="175" t="s">
        <v>252</v>
      </c>
      <c r="J20" s="379"/>
      <c r="K20" s="362"/>
      <c r="L20" s="362"/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79"/>
      <c r="K21" s="362"/>
      <c r="L21" s="362"/>
    </row>
    <row r="22" spans="1:12" ht="19.5" thickBot="1">
      <c r="E22" s="151"/>
      <c r="I22" s="152" t="s">
        <v>255</v>
      </c>
      <c r="J22" s="379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0</v>
      </c>
      <c r="E23" s="186">
        <f xml:space="preserve"> D23 / $D$6</f>
        <v>0</v>
      </c>
      <c r="F23" s="187">
        <f xml:space="preserve"> E23 * 12</f>
        <v>0</v>
      </c>
      <c r="G23" s="159"/>
      <c r="I23" s="152" t="s">
        <v>256</v>
      </c>
      <c r="J23" s="379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79"/>
      <c r="K24" s="362"/>
      <c r="L24" s="362"/>
    </row>
    <row r="25" spans="1:12">
      <c r="B25" s="155" t="s">
        <v>234</v>
      </c>
      <c r="C25" s="152"/>
      <c r="D25" s="162">
        <f xml:space="preserve"> D15 + D19 + D20 + D23</f>
        <v>20791</v>
      </c>
      <c r="E25" s="164">
        <f xml:space="preserve"> E15 + E19 + E20 + E23</f>
        <v>17</v>
      </c>
      <c r="F25" s="164">
        <f xml:space="preserve"> F15 + F19 + F20 + F23</f>
        <v>204</v>
      </c>
      <c r="G25" s="185"/>
      <c r="I25" s="152" t="s">
        <v>258</v>
      </c>
      <c r="J25" s="379"/>
      <c r="K25" s="362"/>
      <c r="L25" s="362"/>
    </row>
    <row r="26" spans="1:12">
      <c r="B26" s="155" t="s">
        <v>235</v>
      </c>
      <c r="C26" s="160">
        <v>0.17</v>
      </c>
      <c r="D26" s="162">
        <f>D25*0.17</f>
        <v>3534.4700000000003</v>
      </c>
      <c r="E26" s="162">
        <f t="shared" ref="E26:F26" si="5">E25*0.17</f>
        <v>2.89</v>
      </c>
      <c r="F26" s="162">
        <f t="shared" si="5"/>
        <v>34.68</v>
      </c>
      <c r="G26" s="185"/>
      <c r="I26" s="152" t="s">
        <v>259</v>
      </c>
      <c r="J26" s="380"/>
      <c r="K26" s="363"/>
      <c r="L26" s="363"/>
    </row>
    <row r="27" spans="1:12">
      <c r="B27" s="155" t="s">
        <v>236</v>
      </c>
      <c r="C27" s="152"/>
      <c r="D27" s="162">
        <f>D26+D25</f>
        <v>24325.47</v>
      </c>
      <c r="E27" s="162">
        <f t="shared" ref="E27:F27" si="6">E26+E25</f>
        <v>19.89</v>
      </c>
      <c r="F27" s="162">
        <f t="shared" si="6"/>
        <v>238.68</v>
      </c>
      <c r="G27" s="185"/>
      <c r="I27" s="176" t="s">
        <v>275</v>
      </c>
      <c r="K27" s="161">
        <f xml:space="preserve"> J27 / $D$6</f>
        <v>0</v>
      </c>
      <c r="L27" s="162">
        <f xml:space="preserve"> K27 * 12</f>
        <v>0</v>
      </c>
    </row>
    <row r="28" spans="1:12">
      <c r="B28" s="157"/>
      <c r="C28" s="151"/>
      <c r="D28" s="291"/>
      <c r="E28" s="291"/>
      <c r="F28" s="291"/>
      <c r="G28" s="185"/>
      <c r="I28" s="176"/>
      <c r="K28" s="161"/>
      <c r="L28" s="162"/>
    </row>
    <row r="29" spans="1:12">
      <c r="E29" s="151"/>
      <c r="I29" s="266" t="s">
        <v>337</v>
      </c>
      <c r="J29" s="162"/>
      <c r="K29" s="161">
        <f xml:space="preserve"> J29 / $D$6</f>
        <v>0</v>
      </c>
      <c r="L29" s="162">
        <f xml:space="preserve"> K29 * 12</f>
        <v>0</v>
      </c>
    </row>
    <row r="30" spans="1:12">
      <c r="D30" s="148"/>
      <c r="F30" s="148"/>
      <c r="G30" s="148"/>
      <c r="I30" s="178" t="s">
        <v>33</v>
      </c>
      <c r="J30" s="195">
        <f>SUM(J19:J29)</f>
        <v>9233.4021632047006</v>
      </c>
      <c r="K30" s="195">
        <f t="shared" ref="K30:L30" si="7">SUM(K19:K29)</f>
        <v>7.549797353397139</v>
      </c>
      <c r="L30" s="195">
        <f t="shared" si="7"/>
        <v>90.597568240765668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I33" s="152" t="s">
        <v>260</v>
      </c>
      <c r="J33" s="198">
        <f xml:space="preserve"> 'סיכום עלויות  - הלל'!G6</f>
        <v>11557.597836795299</v>
      </c>
      <c r="K33" s="161">
        <f xml:space="preserve"> J33 / $D$6</f>
        <v>9.450202646602861</v>
      </c>
      <c r="L33" s="162">
        <f xml:space="preserve"> K33 * 12</f>
        <v>113.40243175923433</v>
      </c>
    </row>
    <row r="34" spans="2:14" ht="19.5" thickBot="1">
      <c r="B34" s="367"/>
      <c r="C34" s="357"/>
      <c r="D34" s="357"/>
      <c r="E34" s="357"/>
      <c r="F34" s="358"/>
      <c r="G34" s="221"/>
      <c r="I34" s="152" t="s">
        <v>261</v>
      </c>
      <c r="J34" s="162"/>
      <c r="K34" s="172"/>
      <c r="L34" s="171"/>
    </row>
    <row r="35" spans="2:14">
      <c r="I35" s="152" t="s">
        <v>262</v>
      </c>
      <c r="J35" s="162"/>
      <c r="K35" s="161"/>
      <c r="L35" s="162"/>
    </row>
    <row r="36" spans="2:14">
      <c r="I36" s="180" t="s">
        <v>263</v>
      </c>
      <c r="J36" s="162"/>
      <c r="K36" s="161">
        <f t="shared" ref="K36:K38" si="8" xml:space="preserve"> J36 / $D$6</f>
        <v>0</v>
      </c>
      <c r="L36" s="162">
        <f t="shared" ref="L36:L38" si="9" xml:space="preserve"> K36 * 12</f>
        <v>0</v>
      </c>
      <c r="N36" s="151"/>
    </row>
    <row r="37" spans="2:14">
      <c r="I37" s="152" t="s">
        <v>264</v>
      </c>
      <c r="J37" s="162"/>
      <c r="K37" s="161">
        <f t="shared" si="8"/>
        <v>0</v>
      </c>
      <c r="L37" s="162">
        <f t="shared" si="9"/>
        <v>0</v>
      </c>
      <c r="N37" s="151"/>
    </row>
    <row r="38" spans="2:14">
      <c r="I38" s="152" t="s">
        <v>246</v>
      </c>
      <c r="J38" s="162"/>
      <c r="K38" s="161">
        <f t="shared" si="8"/>
        <v>0</v>
      </c>
      <c r="L38" s="162">
        <f t="shared" si="9"/>
        <v>0</v>
      </c>
      <c r="N38" s="174"/>
    </row>
    <row r="39" spans="2:14">
      <c r="I39" s="180" t="s">
        <v>276</v>
      </c>
      <c r="J39" s="162">
        <f xml:space="preserve"> 'סיכום עלויות - רשות אוכלוסין'!F6</f>
        <v>0</v>
      </c>
      <c r="K39" s="161">
        <f xml:space="preserve"> J39 / $D$6</f>
        <v>0</v>
      </c>
      <c r="L39" s="162">
        <f xml:space="preserve"> K39 * 12</f>
        <v>0</v>
      </c>
      <c r="N39" s="151"/>
    </row>
    <row r="40" spans="2:14">
      <c r="I40" s="155" t="s">
        <v>33</v>
      </c>
      <c r="J40" s="195">
        <f>SUM(J33:J39)</f>
        <v>11557.597836795299</v>
      </c>
      <c r="K40" s="195">
        <f>SUM(K33:K39)</f>
        <v>9.450202646602861</v>
      </c>
      <c r="L40" s="195">
        <f>SUM(L33:L39)</f>
        <v>113.40243175923433</v>
      </c>
    </row>
    <row r="41" spans="2:14">
      <c r="I41" s="151"/>
      <c r="J41" s="174"/>
      <c r="K41" s="151"/>
      <c r="L41" s="174"/>
    </row>
    <row r="42" spans="2:14">
      <c r="I42" s="167" t="s">
        <v>265</v>
      </c>
      <c r="J42" s="168" t="s">
        <v>238</v>
      </c>
      <c r="K42" s="168" t="s">
        <v>239</v>
      </c>
      <c r="L42" s="168" t="s">
        <v>238</v>
      </c>
    </row>
    <row r="43" spans="2:14">
      <c r="I43" s="152" t="s">
        <v>266</v>
      </c>
      <c r="J43" s="171"/>
      <c r="K43" s="171" t="s">
        <v>274</v>
      </c>
      <c r="L43" s="171" t="s">
        <v>274</v>
      </c>
    </row>
    <row r="44" spans="2:14">
      <c r="I44" s="152" t="s">
        <v>267</v>
      </c>
      <c r="J44" s="171"/>
      <c r="K44" s="171" t="s">
        <v>274</v>
      </c>
      <c r="L44" s="171" t="s">
        <v>274</v>
      </c>
    </row>
    <row r="45" spans="2:14">
      <c r="I45" s="180" t="s">
        <v>268</v>
      </c>
      <c r="J45" s="171"/>
      <c r="K45" s="171" t="s">
        <v>274</v>
      </c>
      <c r="L45" s="171" t="s">
        <v>274</v>
      </c>
    </row>
    <row r="46" spans="2:14">
      <c r="I46" s="152" t="s">
        <v>321</v>
      </c>
      <c r="J46" s="171"/>
      <c r="K46" s="171" t="s">
        <v>274</v>
      </c>
      <c r="L46" s="171" t="s">
        <v>274</v>
      </c>
    </row>
    <row r="47" spans="2:14"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0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/>
      <c r="K51" s="368">
        <f xml:space="preserve"> J51/ $D$6</f>
        <v>0</v>
      </c>
      <c r="L51" s="368">
        <f xml:space="preserve"> K51 * 12</f>
        <v>0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0</v>
      </c>
      <c r="K56" s="194">
        <f>SUM(K51:K55)</f>
        <v>0</v>
      </c>
      <c r="L56" s="194">
        <f>SUM(L51:L55)</f>
        <v>0</v>
      </c>
    </row>
    <row r="57" spans="9:12">
      <c r="I57" s="174"/>
      <c r="J57" s="151"/>
      <c r="K57" s="151"/>
      <c r="L57" s="151"/>
    </row>
  </sheetData>
  <mergeCells count="15">
    <mergeCell ref="L6:L7"/>
    <mergeCell ref="B1:I1"/>
    <mergeCell ref="B3:C3"/>
    <mergeCell ref="D4:J4"/>
    <mergeCell ref="J6:J7"/>
    <mergeCell ref="K6:K7"/>
    <mergeCell ref="J51:J53"/>
    <mergeCell ref="K51:K53"/>
    <mergeCell ref="L51:L53"/>
    <mergeCell ref="B15:C15"/>
    <mergeCell ref="J19:J26"/>
    <mergeCell ref="K19:K26"/>
    <mergeCell ref="L19:L26"/>
    <mergeCell ref="D21:F21"/>
    <mergeCell ref="B32:F34"/>
  </mergeCells>
  <pageMargins left="0.70866141732283505" right="0.70866141732283505" top="0.74803149606299202" bottom="0.74803149606299202" header="0.31496062992126" footer="0.31496062992126"/>
  <pageSetup paperSize="9"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O9"/>
  <sheetViews>
    <sheetView rightToLeft="1" zoomScaleNormal="100" zoomScaleSheetLayoutView="100" workbookViewId="0">
      <selection activeCell="F6" sqref="F6:F8"/>
    </sheetView>
  </sheetViews>
  <sheetFormatPr defaultColWidth="8.625" defaultRowHeight="14.25"/>
  <cols>
    <col min="1" max="1" width="19.5" style="288" customWidth="1"/>
    <col min="2" max="2" width="16.375" style="288" customWidth="1"/>
    <col min="3" max="4" width="14.875" style="288" customWidth="1"/>
    <col min="5" max="5" width="18.75" style="288" bestFit="1" customWidth="1"/>
    <col min="6" max="6" width="20.375" style="2" customWidth="1"/>
    <col min="7" max="7" width="18" style="2" customWidth="1"/>
    <col min="8" max="9" width="14.25" style="2" customWidth="1"/>
    <col min="10" max="10" width="17.25" style="2" customWidth="1"/>
    <col min="11" max="12" width="15.375" style="2" customWidth="1"/>
    <col min="13" max="13" width="17.375" style="2" customWidth="1"/>
    <col min="14" max="14" width="15.875" style="122" customWidth="1"/>
    <col min="15" max="15" width="9.875" style="288" bestFit="1" customWidth="1"/>
    <col min="16" max="16384" width="8.625" style="288"/>
  </cols>
  <sheetData>
    <row r="1" spans="1:15">
      <c r="K1" s="2">
        <f>1.0528</f>
        <v>1.0528</v>
      </c>
    </row>
    <row r="2" spans="1:15" ht="29.25" customHeight="1" thickBot="1">
      <c r="A2" s="384" t="s">
        <v>398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</row>
    <row r="3" spans="1:15" ht="15" customHeight="1" thickTop="1">
      <c r="A3" s="3"/>
      <c r="B3" s="3" t="s">
        <v>16</v>
      </c>
      <c r="C3" s="3" t="s">
        <v>392</v>
      </c>
      <c r="D3" s="289">
        <v>23.14</v>
      </c>
      <c r="E3" s="112" t="s">
        <v>66</v>
      </c>
      <c r="F3" s="112">
        <f xml:space="preserve"> '[5]מדדים ינואר 20 '!E3</f>
        <v>42.804712369308248</v>
      </c>
      <c r="G3" s="90" t="s">
        <v>307</v>
      </c>
      <c r="H3" s="114">
        <f xml:space="preserve"> '[5]מדדים ינואר 20 '!H5</f>
        <v>5.9756219402538058E-3</v>
      </c>
      <c r="J3" s="91" t="s">
        <v>308</v>
      </c>
      <c r="K3" s="121">
        <f xml:space="preserve"> '[5]מדדים ינואר 20 '!H4</f>
        <v>2.8503797218660587E-2</v>
      </c>
      <c r="L3" s="5"/>
      <c r="M3" s="18"/>
      <c r="N3" s="123"/>
    </row>
    <row r="4" spans="1:15" ht="30">
      <c r="A4" s="6"/>
      <c r="B4" s="7" t="s">
        <v>14</v>
      </c>
      <c r="C4" s="7" t="s">
        <v>393</v>
      </c>
      <c r="D4" s="7">
        <v>17</v>
      </c>
      <c r="E4" s="7"/>
      <c r="F4" s="8" t="s">
        <v>291</v>
      </c>
      <c r="G4" s="8" t="s">
        <v>394</v>
      </c>
      <c r="H4" s="8"/>
      <c r="I4" s="8" t="s">
        <v>310</v>
      </c>
      <c r="J4" s="8" t="s">
        <v>311</v>
      </c>
      <c r="K4" s="8" t="s">
        <v>295</v>
      </c>
      <c r="L4" s="8" t="s">
        <v>296</v>
      </c>
      <c r="M4" s="8" t="s">
        <v>297</v>
      </c>
      <c r="N4" s="224" t="s">
        <v>285</v>
      </c>
    </row>
    <row r="5" spans="1:15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1" t="s">
        <v>298</v>
      </c>
      <c r="H5" s="11" t="s">
        <v>13</v>
      </c>
      <c r="I5" s="11" t="s">
        <v>13</v>
      </c>
      <c r="J5" s="11" t="s">
        <v>298</v>
      </c>
      <c r="K5" s="11" t="s">
        <v>13</v>
      </c>
      <c r="L5" s="11" t="s">
        <v>13</v>
      </c>
      <c r="M5" s="11" t="s">
        <v>13</v>
      </c>
      <c r="N5" s="125"/>
    </row>
    <row r="6" spans="1:15">
      <c r="A6" s="385" t="s">
        <v>395</v>
      </c>
      <c r="B6" s="388">
        <v>1223</v>
      </c>
      <c r="C6" s="391"/>
      <c r="D6" s="388"/>
      <c r="E6" s="30" t="s">
        <v>396</v>
      </c>
      <c r="F6" s="13"/>
      <c r="G6" s="13">
        <f xml:space="preserve"> '[5]חישוב עלויות שיקום שכונות 2020'!J19</f>
        <v>11557.597836795299</v>
      </c>
      <c r="H6" s="13"/>
      <c r="I6" s="13"/>
      <c r="J6" s="13"/>
      <c r="K6" s="13"/>
      <c r="L6" s="13"/>
      <c r="M6" s="13">
        <f xml:space="preserve"> '[5]עלויות אוכלוסי ראשי - 01.19'!M6</f>
        <v>5000</v>
      </c>
      <c r="N6" s="262">
        <f t="shared" ref="N6:N8" si="0">SUM(F6:M6)</f>
        <v>16557.597836795299</v>
      </c>
      <c r="O6" s="230">
        <f xml:space="preserve"> N6 - '[5]עלויות אוכלוסי ראשי - 01.19'!N6</f>
        <v>11557.597836795299</v>
      </c>
    </row>
    <row r="7" spans="1:15">
      <c r="A7" s="386"/>
      <c r="B7" s="389"/>
      <c r="C7" s="392"/>
      <c r="D7" s="389"/>
      <c r="E7" s="30" t="s">
        <v>399</v>
      </c>
      <c r="F7" s="231"/>
      <c r="G7" s="231">
        <f xml:space="preserve"> G8 - G6</f>
        <v>9233.4021632047006</v>
      </c>
      <c r="H7" s="231"/>
      <c r="I7" s="231"/>
      <c r="J7" s="231"/>
      <c r="K7" s="231"/>
      <c r="L7" s="231"/>
      <c r="M7" s="231">
        <f xml:space="preserve"> '[6]סיכום עלויות חודשי - צמוד 04.18'!M18 * ( 1 +$H$3)</f>
        <v>0</v>
      </c>
      <c r="N7" s="262">
        <f t="shared" si="0"/>
        <v>9233.4021632047006</v>
      </c>
      <c r="O7" s="230">
        <f xml:space="preserve"> N7 - '[5]עלויות אוכלוסי ראשי - 01.19'!N8</f>
        <v>-4833.9286252144066</v>
      </c>
    </row>
    <row r="8" spans="1:15">
      <c r="A8" s="387"/>
      <c r="B8" s="390"/>
      <c r="C8" s="393"/>
      <c r="D8" s="390"/>
      <c r="E8" s="129" t="s">
        <v>33</v>
      </c>
      <c r="F8" s="226"/>
      <c r="G8" s="226">
        <f xml:space="preserve"> 17 * B6</f>
        <v>20791</v>
      </c>
      <c r="H8" s="226"/>
      <c r="I8" s="226">
        <f>SUM(I6:I7)</f>
        <v>0</v>
      </c>
      <c r="J8" s="226">
        <f>SUM(J6:J7)</f>
        <v>0</v>
      </c>
      <c r="K8" s="226">
        <f>SUM(K6:K7)</f>
        <v>0</v>
      </c>
      <c r="L8" s="226">
        <f>SUM(L6:L7)</f>
        <v>0</v>
      </c>
      <c r="M8" s="85">
        <f>SUM(M6:M7)</f>
        <v>5000</v>
      </c>
      <c r="N8" s="263">
        <f t="shared" si="0"/>
        <v>25791</v>
      </c>
      <c r="O8" s="230">
        <f xml:space="preserve"> N8 - '[5]עלויות אוכלוסי ראשי - 01.19'!N10</f>
        <v>-37807.399999999994</v>
      </c>
    </row>
    <row r="9" spans="1:15" s="2" customFormat="1" ht="15">
      <c r="A9" s="383" t="s">
        <v>397</v>
      </c>
      <c r="B9" s="383"/>
      <c r="C9" s="383"/>
      <c r="D9" s="383"/>
      <c r="E9" s="383"/>
      <c r="F9" s="31"/>
      <c r="N9" s="122"/>
    </row>
  </sheetData>
  <mergeCells count="6">
    <mergeCell ref="A9:E9"/>
    <mergeCell ref="A2:N2"/>
    <mergeCell ref="A6:A8"/>
    <mergeCell ref="B6:B8"/>
    <mergeCell ref="C6:C8"/>
    <mergeCell ref="D6:D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A7" zoomScale="80" zoomScaleNormal="80" workbookViewId="0">
      <selection activeCell="D26" sqref="D26"/>
    </sheetView>
  </sheetViews>
  <sheetFormatPr defaultColWidth="9" defaultRowHeight="18.75"/>
  <cols>
    <col min="1" max="1" width="9" style="148"/>
    <col min="2" max="2" width="16.625" style="148" customWidth="1"/>
    <col min="3" max="3" width="52.1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6.6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264"/>
      <c r="C2" s="264"/>
      <c r="D2" s="264"/>
      <c r="E2" s="264"/>
      <c r="F2" s="264"/>
      <c r="G2" s="264"/>
      <c r="H2" s="264"/>
    </row>
    <row r="3" spans="2:15" ht="26.25">
      <c r="B3" s="372"/>
      <c r="C3" s="373"/>
      <c r="D3" s="264"/>
      <c r="E3" s="264"/>
      <c r="F3" s="264"/>
      <c r="G3" s="264"/>
      <c r="H3" s="264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318</v>
      </c>
      <c r="D5" s="166" t="s">
        <v>349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f xml:space="preserve"> 'סיכום עלויות - רשות אוכלוסין'!B6:B10</f>
        <v>2560</v>
      </c>
      <c r="E6" s="151"/>
      <c r="F6" s="151"/>
      <c r="G6" s="151"/>
      <c r="H6" s="181"/>
      <c r="I6" s="152" t="s">
        <v>240</v>
      </c>
      <c r="J6" s="361"/>
      <c r="K6" s="375">
        <f xml:space="preserve"> J6 / $D$6</f>
        <v>0</v>
      </c>
      <c r="L6" s="361">
        <f xml:space="preserve"> K6 * 12</f>
        <v>0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J16</f>
        <v>0</v>
      </c>
      <c r="E9" s="162">
        <f t="shared" ref="E9:F9" si="0" xml:space="preserve"> K16</f>
        <v>0</v>
      </c>
      <c r="F9" s="162">
        <f t="shared" si="0"/>
        <v>0</v>
      </c>
      <c r="G9" s="188"/>
      <c r="H9" s="21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40621.097656642101</v>
      </c>
      <c r="E10" s="162">
        <f t="shared" ref="E10:F10" si="1" xml:space="preserve"> K30</f>
        <v>15.86761627212582</v>
      </c>
      <c r="F10" s="162">
        <f t="shared" si="1"/>
        <v>190.41139526550984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18806.026318802546</v>
      </c>
      <c r="E11" s="162">
        <f t="shared" ref="E11:F11" si="2" xml:space="preserve"> K40</f>
        <v>7.3461040307822447</v>
      </c>
      <c r="F11" s="162">
        <f t="shared" si="2"/>
        <v>88.153248369386944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0</v>
      </c>
      <c r="E12" s="162">
        <f t="shared" ref="E12:F12" si="3">K48</f>
        <v>0</v>
      </c>
      <c r="F12" s="162">
        <f t="shared" si="3"/>
        <v>0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0</v>
      </c>
      <c r="E13" s="162">
        <f t="shared" ref="E13:F13" si="4">K56</f>
        <v>0</v>
      </c>
      <c r="F13" s="162">
        <f t="shared" si="4"/>
        <v>0</v>
      </c>
      <c r="G13" s="188"/>
      <c r="H13" s="21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>
        <f xml:space="preserve"> 'סיכום עלויות - רשות אוכלוסין'!M10</f>
        <v>5000</v>
      </c>
      <c r="E14" s="162">
        <f xml:space="preserve"> D14 / $D$6</f>
        <v>1.953125</v>
      </c>
      <c r="F14" s="162">
        <f xml:space="preserve"> E14 * 12</f>
        <v>23.4375</v>
      </c>
      <c r="G14" s="189" t="s">
        <v>278</v>
      </c>
      <c r="H14" s="218"/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64427.123975444643</v>
      </c>
      <c r="E15" s="162">
        <f>SUM(E9:E14)</f>
        <v>25.166845302908065</v>
      </c>
      <c r="F15" s="162">
        <f>SUM(F9:F14)</f>
        <v>302.00214363489681</v>
      </c>
      <c r="G15" s="188"/>
      <c r="H15" s="21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0</v>
      </c>
      <c r="K16" s="195">
        <f>SUM(K6:K13)</f>
        <v>0</v>
      </c>
      <c r="L16" s="195">
        <f>SUM(L6:L13)</f>
        <v>0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279</v>
      </c>
      <c r="D19" s="161"/>
      <c r="E19" s="186">
        <f xml:space="preserve"> D19 / $D$6</f>
        <v>0</v>
      </c>
      <c r="F19" s="187">
        <f xml:space="preserve"> E19 * 12</f>
        <v>0</v>
      </c>
      <c r="G19" s="188" t="s">
        <v>306</v>
      </c>
      <c r="I19" s="152" t="s">
        <v>251</v>
      </c>
      <c r="J19" s="378">
        <f xml:space="preserve"> 'סיכום עלויות - רשות אוכלוסין'!F10- J40</f>
        <v>40621.097656642101</v>
      </c>
      <c r="K19" s="361">
        <f xml:space="preserve"> J19 / $D$6</f>
        <v>15.86761627212582</v>
      </c>
      <c r="L19" s="361">
        <f xml:space="preserve"> K19 * 12</f>
        <v>190.41139526550984</v>
      </c>
    </row>
    <row r="20" spans="1:12">
      <c r="B20" s="155">
        <v>7</v>
      </c>
      <c r="C20" s="155" t="s">
        <v>280</v>
      </c>
      <c r="D20" s="161"/>
      <c r="E20" s="186">
        <f xml:space="preserve"> D20 / $D$6</f>
        <v>0</v>
      </c>
      <c r="F20" s="187">
        <f xml:space="preserve"> E20 * 12</f>
        <v>0</v>
      </c>
      <c r="G20" s="188" t="s">
        <v>306</v>
      </c>
      <c r="I20" s="175" t="s">
        <v>252</v>
      </c>
      <c r="J20" s="379"/>
      <c r="K20" s="362"/>
      <c r="L20" s="362"/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79"/>
      <c r="K21" s="362"/>
      <c r="L21" s="362"/>
    </row>
    <row r="22" spans="1:12" ht="19.5" thickBot="1">
      <c r="E22" s="151"/>
      <c r="I22" s="152" t="s">
        <v>255</v>
      </c>
      <c r="J22" s="379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0</v>
      </c>
      <c r="E23" s="186">
        <f xml:space="preserve"> D23 / $D$6</f>
        <v>0</v>
      </c>
      <c r="F23" s="187">
        <f xml:space="preserve"> E23 * 12</f>
        <v>0</v>
      </c>
      <c r="G23" s="159"/>
      <c r="I23" s="152" t="s">
        <v>256</v>
      </c>
      <c r="J23" s="379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79"/>
      <c r="K24" s="362"/>
      <c r="L24" s="362"/>
    </row>
    <row r="25" spans="1:12">
      <c r="B25" s="155" t="s">
        <v>234</v>
      </c>
      <c r="C25" s="152"/>
      <c r="D25" s="162">
        <f xml:space="preserve"> D15 + D19 + D20 + D23</f>
        <v>64427.123975444643</v>
      </c>
      <c r="E25" s="164">
        <f xml:space="preserve"> E15 + E19 + E20 + E23</f>
        <v>25.166845302908065</v>
      </c>
      <c r="F25" s="164">
        <f xml:space="preserve"> F15 + F19 + F20 + F23</f>
        <v>302.00214363489681</v>
      </c>
      <c r="G25" s="185"/>
      <c r="I25" s="152" t="s">
        <v>258</v>
      </c>
      <c r="J25" s="379"/>
      <c r="K25" s="362"/>
      <c r="L25" s="362"/>
    </row>
    <row r="26" spans="1:12">
      <c r="B26" s="155" t="s">
        <v>235</v>
      </c>
      <c r="C26" s="160">
        <v>0.17</v>
      </c>
      <c r="D26" s="162">
        <f>D25*0.17</f>
        <v>10952.611075825591</v>
      </c>
      <c r="E26" s="162">
        <f t="shared" ref="E26:F26" si="5">E25*0.17</f>
        <v>4.2783637014943716</v>
      </c>
      <c r="F26" s="162">
        <f t="shared" si="5"/>
        <v>51.340364417932463</v>
      </c>
      <c r="G26" s="185"/>
      <c r="I26" s="152" t="s">
        <v>259</v>
      </c>
      <c r="J26" s="380"/>
      <c r="K26" s="363"/>
      <c r="L26" s="363"/>
    </row>
    <row r="27" spans="1:12">
      <c r="B27" s="155" t="s">
        <v>236</v>
      </c>
      <c r="C27" s="152"/>
      <c r="D27" s="162">
        <f>D26+D25</f>
        <v>75379.73505127024</v>
      </c>
      <c r="E27" s="162">
        <f t="shared" ref="E27:F27" si="6">E26+E25</f>
        <v>29.445209004402436</v>
      </c>
      <c r="F27" s="162">
        <f t="shared" si="6"/>
        <v>353.34250805282926</v>
      </c>
      <c r="G27" s="185"/>
      <c r="I27" s="176" t="s">
        <v>275</v>
      </c>
      <c r="K27" s="161">
        <f xml:space="preserve"> J27 / $D$6</f>
        <v>0</v>
      </c>
      <c r="L27" s="162">
        <f xml:space="preserve"> K27 * 12</f>
        <v>0</v>
      </c>
    </row>
    <row r="28" spans="1:12">
      <c r="E28" s="151"/>
      <c r="I28" s="266" t="s">
        <v>337</v>
      </c>
      <c r="J28" s="162"/>
      <c r="K28" s="161">
        <f xml:space="preserve"> J28 / $D$6</f>
        <v>0</v>
      </c>
      <c r="L28" s="162">
        <f xml:space="preserve"> K28 * 12</f>
        <v>0</v>
      </c>
    </row>
    <row r="29" spans="1:12" s="292" customFormat="1">
      <c r="D29" s="293"/>
      <c r="E29" s="294"/>
      <c r="F29" s="293"/>
      <c r="G29" s="293"/>
      <c r="I29" s="176"/>
      <c r="J29" s="295"/>
      <c r="K29" s="296"/>
      <c r="L29" s="295"/>
    </row>
    <row r="30" spans="1:12">
      <c r="D30" s="148"/>
      <c r="F30" s="148"/>
      <c r="G30" s="148"/>
      <c r="I30" s="178" t="s">
        <v>33</v>
      </c>
      <c r="J30" s="195">
        <f>SUM(J19:J28)</f>
        <v>40621.097656642101</v>
      </c>
      <c r="K30" s="195">
        <f t="shared" ref="K30:L30" si="7">SUM(K19:K28)</f>
        <v>15.86761627212582</v>
      </c>
      <c r="L30" s="195">
        <f t="shared" si="7"/>
        <v>190.41139526550984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I33" s="152" t="s">
        <v>260</v>
      </c>
      <c r="J33" s="198">
        <f xml:space="preserve"> 'סיכום עלויות - רשות אוכלוסין'!F7</f>
        <v>18406.026318802546</v>
      </c>
      <c r="K33" s="161">
        <f xml:space="preserve"> J33 / $D$6</f>
        <v>7.1898540307822447</v>
      </c>
      <c r="L33" s="162">
        <f xml:space="preserve"> K33 * 12</f>
        <v>86.278248369386944</v>
      </c>
    </row>
    <row r="34" spans="2:14" ht="19.5" thickBot="1">
      <c r="B34" s="367"/>
      <c r="C34" s="357"/>
      <c r="D34" s="357"/>
      <c r="E34" s="357"/>
      <c r="F34" s="358"/>
      <c r="G34" s="221"/>
      <c r="I34" s="152" t="s">
        <v>261</v>
      </c>
      <c r="J34" s="162"/>
      <c r="K34" s="172"/>
      <c r="L34" s="171"/>
    </row>
    <row r="35" spans="2:14">
      <c r="I35" s="152" t="s">
        <v>262</v>
      </c>
      <c r="J35" s="162">
        <v>400</v>
      </c>
      <c r="K35" s="161">
        <f xml:space="preserve"> J35 / $D$6</f>
        <v>0.15625</v>
      </c>
      <c r="L35" s="162">
        <f xml:space="preserve"> K35 * 12</f>
        <v>1.875</v>
      </c>
    </row>
    <row r="36" spans="2:14">
      <c r="I36" s="180" t="s">
        <v>263</v>
      </c>
      <c r="J36" s="162"/>
      <c r="K36" s="161">
        <f t="shared" ref="K36:K38" si="8" xml:space="preserve"> J36 / $D$6</f>
        <v>0</v>
      </c>
      <c r="L36" s="162">
        <f t="shared" ref="L36:L38" si="9" xml:space="preserve"> K36 * 12</f>
        <v>0</v>
      </c>
      <c r="N36" s="151"/>
    </row>
    <row r="37" spans="2:14">
      <c r="I37" s="152" t="s">
        <v>264</v>
      </c>
      <c r="J37" s="162"/>
      <c r="K37" s="161">
        <f t="shared" si="8"/>
        <v>0</v>
      </c>
      <c r="L37" s="162">
        <f t="shared" si="9"/>
        <v>0</v>
      </c>
      <c r="N37" s="151"/>
    </row>
    <row r="38" spans="2:14">
      <c r="I38" s="152" t="s">
        <v>246</v>
      </c>
      <c r="J38" s="162"/>
      <c r="K38" s="161">
        <f t="shared" si="8"/>
        <v>0</v>
      </c>
      <c r="L38" s="162">
        <f t="shared" si="9"/>
        <v>0</v>
      </c>
      <c r="N38" s="174"/>
    </row>
    <row r="39" spans="2:14">
      <c r="I39" s="180" t="s">
        <v>276</v>
      </c>
      <c r="J39" s="162">
        <f xml:space="preserve"> 'סיכום עלויות - רשות אוכלוסין'!F6</f>
        <v>0</v>
      </c>
      <c r="K39" s="161">
        <f xml:space="preserve"> J39 / $D$6</f>
        <v>0</v>
      </c>
      <c r="L39" s="162">
        <f xml:space="preserve"> K39 * 12</f>
        <v>0</v>
      </c>
      <c r="N39" s="151"/>
    </row>
    <row r="40" spans="2:14">
      <c r="I40" s="155" t="s">
        <v>33</v>
      </c>
      <c r="J40" s="195">
        <f>SUM(J33:J39)</f>
        <v>18806.026318802546</v>
      </c>
      <c r="K40" s="195">
        <f>SUM(K33:K39)</f>
        <v>7.3461040307822447</v>
      </c>
      <c r="L40" s="195">
        <f>SUM(L33:L39)</f>
        <v>88.153248369386944</v>
      </c>
    </row>
    <row r="41" spans="2:14">
      <c r="I41" s="151"/>
      <c r="J41" s="174"/>
      <c r="K41" s="151"/>
      <c r="L41" s="174"/>
    </row>
    <row r="42" spans="2:14">
      <c r="I42" s="167" t="s">
        <v>265</v>
      </c>
      <c r="J42" s="168" t="s">
        <v>238</v>
      </c>
      <c r="K42" s="168" t="s">
        <v>239</v>
      </c>
      <c r="L42" s="168" t="s">
        <v>238</v>
      </c>
    </row>
    <row r="43" spans="2:14">
      <c r="I43" s="152" t="s">
        <v>266</v>
      </c>
      <c r="J43" s="171"/>
      <c r="K43" s="171" t="s">
        <v>274</v>
      </c>
      <c r="L43" s="171" t="s">
        <v>274</v>
      </c>
    </row>
    <row r="44" spans="2:14">
      <c r="I44" s="152" t="s">
        <v>267</v>
      </c>
      <c r="J44" s="171"/>
      <c r="K44" s="171" t="s">
        <v>274</v>
      </c>
      <c r="L44" s="171" t="s">
        <v>274</v>
      </c>
    </row>
    <row r="45" spans="2:14">
      <c r="I45" s="180" t="s">
        <v>268</v>
      </c>
      <c r="J45" s="171"/>
      <c r="K45" s="171" t="s">
        <v>274</v>
      </c>
      <c r="L45" s="171" t="s">
        <v>274</v>
      </c>
    </row>
    <row r="46" spans="2:14">
      <c r="I46" s="152" t="s">
        <v>321</v>
      </c>
      <c r="J46" s="171"/>
      <c r="K46" s="171" t="s">
        <v>274</v>
      </c>
      <c r="L46" s="171" t="s">
        <v>274</v>
      </c>
    </row>
    <row r="47" spans="2:14"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0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/>
      <c r="K51" s="368">
        <f xml:space="preserve"> J51/ $D$6</f>
        <v>0</v>
      </c>
      <c r="L51" s="368">
        <f xml:space="preserve"> K51 * 12</f>
        <v>0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0</v>
      </c>
      <c r="K56" s="194">
        <f>SUM(K51:K55)</f>
        <v>0</v>
      </c>
      <c r="L56" s="194">
        <f>SUM(L51:L55)</f>
        <v>0</v>
      </c>
    </row>
    <row r="57" spans="9:12">
      <c r="I57" s="174"/>
      <c r="J57" s="151"/>
      <c r="K57" s="151"/>
      <c r="L57" s="151"/>
    </row>
  </sheetData>
  <mergeCells count="15">
    <mergeCell ref="J51:J53"/>
    <mergeCell ref="K51:K53"/>
    <mergeCell ref="L51:L53"/>
    <mergeCell ref="B15:C15"/>
    <mergeCell ref="J19:J26"/>
    <mergeCell ref="K19:K26"/>
    <mergeCell ref="L19:L26"/>
    <mergeCell ref="D21:F21"/>
    <mergeCell ref="B32:F34"/>
    <mergeCell ref="L6:L7"/>
    <mergeCell ref="B1:I1"/>
    <mergeCell ref="B3:C3"/>
    <mergeCell ref="D4:J4"/>
    <mergeCell ref="J6:J7"/>
    <mergeCell ref="K6:K7"/>
  </mergeCells>
  <pageMargins left="0.70866141732283505" right="0.70866141732283505" top="0.74803149606299202" bottom="0.74803149606299202" header="0.31496062992126" footer="0.31496062992126"/>
  <pageSetup paperSize="9" scale="4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N21"/>
  <sheetViews>
    <sheetView rightToLeft="1" view="pageBreakPreview" zoomScaleNormal="100" zoomScaleSheetLayoutView="100" workbookViewId="0">
      <selection activeCell="A2" sqref="A2:N2"/>
    </sheetView>
  </sheetViews>
  <sheetFormatPr defaultColWidth="8.625" defaultRowHeight="14.25"/>
  <cols>
    <col min="1" max="1" width="19.5" style="265" customWidth="1"/>
    <col min="2" max="2" width="16.375" style="265" customWidth="1"/>
    <col min="3" max="5" width="14.875" style="265" customWidth="1"/>
    <col min="6" max="6" width="20.375" style="2" customWidth="1"/>
    <col min="7" max="7" width="18" style="2" customWidth="1"/>
    <col min="8" max="9" width="14.125" style="2" customWidth="1"/>
    <col min="10" max="10" width="17.125" style="2" customWidth="1"/>
    <col min="11" max="12" width="15.375" style="2" customWidth="1"/>
    <col min="13" max="13" width="17.375" style="2" customWidth="1"/>
    <col min="14" max="14" width="15.875" style="122" customWidth="1"/>
    <col min="15" max="16384" width="8.625" style="265"/>
  </cols>
  <sheetData>
    <row r="1" spans="1:14">
      <c r="K1" s="2">
        <f>1.0528</f>
        <v>1.0528</v>
      </c>
    </row>
    <row r="2" spans="1:14" ht="29.25" customHeight="1" thickBot="1">
      <c r="A2" s="384" t="s">
        <v>386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</row>
    <row r="3" spans="1:14" ht="15" customHeight="1" thickTop="1">
      <c r="A3" s="3"/>
      <c r="B3" s="3" t="s">
        <v>16</v>
      </c>
      <c r="C3" s="3"/>
      <c r="D3" s="3">
        <v>1</v>
      </c>
      <c r="E3" s="112" t="s">
        <v>66</v>
      </c>
      <c r="F3" s="112">
        <f xml:space="preserve"> '[7]מדדים ינואר 20 '!E3</f>
        <v>42.804712369308248</v>
      </c>
      <c r="G3" s="90" t="s">
        <v>307</v>
      </c>
      <c r="H3" s="114">
        <f xml:space="preserve"> '[7]מדדים ינואר 20 '!H5</f>
        <v>5.9756219402538058E-3</v>
      </c>
      <c r="J3" s="91" t="s">
        <v>308</v>
      </c>
      <c r="K3" s="121">
        <f xml:space="preserve"> '[7]מדדים ינואר 20 '!H4</f>
        <v>2.8503797218660587E-2</v>
      </c>
      <c r="L3" s="5"/>
      <c r="M3" s="18"/>
      <c r="N3" s="123"/>
    </row>
    <row r="4" spans="1:14" ht="30">
      <c r="A4" s="6"/>
      <c r="B4" s="7" t="s">
        <v>14</v>
      </c>
      <c r="C4" s="7"/>
      <c r="D4" s="7"/>
      <c r="E4" s="7"/>
      <c r="F4" s="8" t="s">
        <v>291</v>
      </c>
      <c r="G4" s="8" t="s">
        <v>309</v>
      </c>
      <c r="H4" s="8" t="s">
        <v>320</v>
      </c>
      <c r="I4" s="8" t="s">
        <v>310</v>
      </c>
      <c r="J4" s="8" t="s">
        <v>311</v>
      </c>
      <c r="K4" s="8" t="s">
        <v>295</v>
      </c>
      <c r="L4" s="8" t="s">
        <v>296</v>
      </c>
      <c r="M4" s="8" t="s">
        <v>297</v>
      </c>
      <c r="N4" s="224" t="s">
        <v>285</v>
      </c>
    </row>
    <row r="5" spans="1:14">
      <c r="A5" s="6"/>
      <c r="B5" s="10" t="s">
        <v>12</v>
      </c>
      <c r="C5" s="29" t="s">
        <v>27</v>
      </c>
      <c r="D5" s="29" t="s">
        <v>65</v>
      </c>
      <c r="E5" s="29" t="s">
        <v>64</v>
      </c>
      <c r="F5" s="11" t="s">
        <v>13</v>
      </c>
      <c r="G5" s="11" t="s">
        <v>298</v>
      </c>
      <c r="H5" s="11" t="s">
        <v>13</v>
      </c>
      <c r="I5" s="11" t="s">
        <v>13</v>
      </c>
      <c r="J5" s="11" t="s">
        <v>298</v>
      </c>
      <c r="K5" s="11" t="s">
        <v>13</v>
      </c>
      <c r="L5" s="11" t="s">
        <v>13</v>
      </c>
      <c r="M5" s="11" t="s">
        <v>13</v>
      </c>
      <c r="N5" s="125"/>
    </row>
    <row r="6" spans="1:14" ht="14.1" customHeight="1">
      <c r="A6" s="385" t="s">
        <v>348</v>
      </c>
      <c r="B6" s="388">
        <v>2560</v>
      </c>
      <c r="C6" s="391"/>
      <c r="D6" s="388">
        <f xml:space="preserve"> 2.5 * 172</f>
        <v>430</v>
      </c>
      <c r="E6" s="30" t="s">
        <v>69</v>
      </c>
      <c r="F6" s="13"/>
      <c r="G6" s="13"/>
      <c r="H6" s="13"/>
      <c r="I6" s="13"/>
      <c r="J6" s="13"/>
      <c r="K6" s="13"/>
      <c r="L6" s="13"/>
      <c r="M6" s="13">
        <f xml:space="preserve"> '[7]עלויות אוכלוסי ראשי - 01.19'!M6</f>
        <v>5000</v>
      </c>
      <c r="N6" s="262">
        <f t="shared" ref="N6:N10" si="0">SUM(F6:M6)</f>
        <v>5000</v>
      </c>
    </row>
    <row r="7" spans="1:14">
      <c r="A7" s="386"/>
      <c r="B7" s="389"/>
      <c r="C7" s="392"/>
      <c r="D7" s="389"/>
      <c r="E7" s="30" t="s">
        <v>66</v>
      </c>
      <c r="F7" s="231">
        <f xml:space="preserve"> $D$6 * $F$3</f>
        <v>18406.026318802546</v>
      </c>
      <c r="G7" s="231"/>
      <c r="H7" s="231"/>
      <c r="I7" s="231"/>
      <c r="J7" s="231"/>
      <c r="K7" s="231"/>
      <c r="L7" s="231"/>
      <c r="M7" s="231"/>
      <c r="N7" s="262">
        <f t="shared" si="0"/>
        <v>18406.026318802546</v>
      </c>
    </row>
    <row r="8" spans="1:14">
      <c r="A8" s="386"/>
      <c r="B8" s="389"/>
      <c r="C8" s="392"/>
      <c r="D8" s="389"/>
      <c r="E8" s="30" t="s">
        <v>67</v>
      </c>
      <c r="F8" s="231">
        <f xml:space="preserve"> '[7]עלויות אוכלוסי ראשי - 01.19'!F8 * ( 1 + H3)</f>
        <v>14151.391838919193</v>
      </c>
      <c r="G8" s="231"/>
      <c r="H8" s="231"/>
      <c r="I8" s="231"/>
      <c r="J8" s="231"/>
      <c r="K8" s="231"/>
      <c r="L8" s="231"/>
      <c r="M8" s="231">
        <f xml:space="preserve"> '[6]סיכום עלויות חודשי - צמוד 04.18'!M18 * ( 1 +$H$3)</f>
        <v>0</v>
      </c>
      <c r="N8" s="262">
        <f t="shared" si="0"/>
        <v>14151.391838919193</v>
      </c>
    </row>
    <row r="9" spans="1:14">
      <c r="A9" s="386"/>
      <c r="B9" s="389"/>
      <c r="C9" s="392"/>
      <c r="D9" s="389"/>
      <c r="E9" s="30" t="s">
        <v>68</v>
      </c>
      <c r="F9" s="231">
        <f xml:space="preserve"> '[7]עלויות אוכלוסי ראשי - 01.19'!F9 * ( 1 + K3)</f>
        <v>26869.705817722908</v>
      </c>
      <c r="G9" s="231"/>
      <c r="H9" s="231"/>
      <c r="I9" s="231"/>
      <c r="J9" s="231"/>
      <c r="K9" s="231"/>
      <c r="L9" s="231"/>
      <c r="M9" s="231">
        <f xml:space="preserve"> '[6]סיכום עלויות חודשי - צמוד 04.18'!M19 * ( 1 +$K$3)</f>
        <v>0</v>
      </c>
      <c r="N9" s="262">
        <f t="shared" si="0"/>
        <v>26869.705817722908</v>
      </c>
    </row>
    <row r="10" spans="1:14">
      <c r="A10" s="387"/>
      <c r="B10" s="390"/>
      <c r="C10" s="393"/>
      <c r="D10" s="390"/>
      <c r="E10" s="129" t="s">
        <v>33</v>
      </c>
      <c r="F10" s="226">
        <f>SUM(F6:F9)</f>
        <v>59427.123975444643</v>
      </c>
      <c r="G10" s="226">
        <f t="shared" ref="G10:M10" si="1">SUM(G6:G9)</f>
        <v>0</v>
      </c>
      <c r="H10" s="226">
        <f t="shared" si="1"/>
        <v>0</v>
      </c>
      <c r="I10" s="226">
        <f t="shared" si="1"/>
        <v>0</v>
      </c>
      <c r="J10" s="226">
        <f t="shared" si="1"/>
        <v>0</v>
      </c>
      <c r="K10" s="226">
        <f t="shared" si="1"/>
        <v>0</v>
      </c>
      <c r="L10" s="226">
        <f t="shared" si="1"/>
        <v>0</v>
      </c>
      <c r="M10" s="85">
        <f t="shared" si="1"/>
        <v>5000</v>
      </c>
      <c r="N10" s="263">
        <f t="shared" si="0"/>
        <v>64427.123975444643</v>
      </c>
    </row>
    <row r="11" spans="1:14" s="2" customFormat="1" ht="15">
      <c r="A11" s="383" t="s">
        <v>346</v>
      </c>
      <c r="B11" s="383"/>
      <c r="C11" s="383"/>
      <c r="D11" s="383"/>
      <c r="E11" s="383"/>
      <c r="F11" s="31"/>
      <c r="N11" s="122"/>
    </row>
    <row r="12" spans="1:14" s="2" customFormat="1">
      <c r="A12" s="265"/>
      <c r="B12" s="265"/>
      <c r="C12" s="265"/>
      <c r="D12" s="265"/>
      <c r="E12" s="265"/>
      <c r="H12" s="26"/>
      <c r="I12" s="26"/>
      <c r="J12" s="26"/>
      <c r="K12" s="26"/>
      <c r="L12" s="27"/>
      <c r="M12" s="27"/>
      <c r="N12" s="122"/>
    </row>
    <row r="13" spans="1:14" s="2" customFormat="1">
      <c r="A13" s="265"/>
      <c r="B13" s="265"/>
      <c r="C13" s="265"/>
      <c r="D13" s="265"/>
      <c r="E13" s="265"/>
      <c r="H13" s="26"/>
      <c r="I13" s="26"/>
      <c r="J13" s="26"/>
      <c r="K13" s="26"/>
      <c r="L13" s="27"/>
      <c r="M13" s="27"/>
      <c r="N13" s="122"/>
    </row>
    <row r="14" spans="1:14" s="2" customFormat="1">
      <c r="A14" s="265"/>
      <c r="B14" s="265"/>
      <c r="C14" s="265"/>
      <c r="D14" s="265"/>
      <c r="E14" s="265"/>
      <c r="H14" s="26"/>
      <c r="I14" s="26"/>
      <c r="J14" s="26"/>
      <c r="K14" s="26"/>
      <c r="L14" s="27"/>
      <c r="M14" s="27"/>
      <c r="N14" s="122"/>
    </row>
    <row r="15" spans="1:14" s="2" customFormat="1">
      <c r="A15" s="265"/>
      <c r="B15" s="265"/>
      <c r="C15" s="265"/>
      <c r="D15" s="265"/>
      <c r="E15" s="265"/>
      <c r="H15" s="26"/>
      <c r="I15" s="26"/>
      <c r="J15" s="26"/>
      <c r="K15" s="26"/>
      <c r="L15" s="26"/>
      <c r="M15" s="26"/>
      <c r="N15" s="122"/>
    </row>
    <row r="16" spans="1:14" s="2" customFormat="1">
      <c r="A16" s="265"/>
      <c r="B16" s="265"/>
      <c r="C16" s="265"/>
      <c r="D16" s="265"/>
      <c r="E16" s="265"/>
      <c r="H16" s="26"/>
      <c r="I16" s="26"/>
      <c r="J16" s="26"/>
      <c r="K16" s="26"/>
      <c r="L16" s="26"/>
      <c r="M16" s="26"/>
      <c r="N16" s="122"/>
    </row>
    <row r="17" spans="1:14" s="2" customFormat="1">
      <c r="A17" s="265"/>
      <c r="B17" s="265"/>
      <c r="C17" s="265"/>
      <c r="D17" s="265"/>
      <c r="E17" s="265"/>
      <c r="H17" s="26"/>
      <c r="I17" s="26"/>
      <c r="J17" s="26"/>
      <c r="K17" s="26"/>
      <c r="L17" s="26"/>
      <c r="M17" s="26"/>
      <c r="N17" s="122"/>
    </row>
    <row r="18" spans="1:14" s="2" customFormat="1">
      <c r="A18" s="265"/>
      <c r="B18" s="265"/>
      <c r="C18" s="265"/>
      <c r="D18" s="265"/>
      <c r="E18" s="265"/>
      <c r="H18" s="26"/>
      <c r="I18" s="26"/>
      <c r="J18" s="26"/>
      <c r="K18" s="26"/>
      <c r="L18" s="26"/>
      <c r="M18" s="26"/>
      <c r="N18" s="122"/>
    </row>
    <row r="19" spans="1:14" s="2" customFormat="1">
      <c r="A19" s="265"/>
      <c r="B19" s="265"/>
      <c r="C19" s="265"/>
      <c r="D19" s="265"/>
      <c r="E19" s="265"/>
      <c r="H19" s="26"/>
      <c r="I19" s="26"/>
      <c r="J19" s="26"/>
      <c r="K19" s="26"/>
      <c r="L19" s="26"/>
      <c r="M19" s="26"/>
      <c r="N19" s="122"/>
    </row>
    <row r="20" spans="1:14" s="2" customFormat="1">
      <c r="A20" s="265"/>
      <c r="B20" s="265"/>
      <c r="C20" s="265"/>
      <c r="D20" s="265"/>
      <c r="E20" s="265"/>
      <c r="H20" s="26"/>
      <c r="I20" s="26"/>
      <c r="J20" s="26"/>
      <c r="K20" s="26"/>
      <c r="L20" s="26"/>
      <c r="M20" s="26"/>
      <c r="N20" s="122"/>
    </row>
    <row r="21" spans="1:14" s="2" customFormat="1">
      <c r="A21" s="265"/>
      <c r="B21" s="265"/>
      <c r="C21" s="265"/>
      <c r="D21" s="265"/>
      <c r="E21" s="265"/>
      <c r="H21" s="26"/>
      <c r="I21" s="26"/>
      <c r="J21" s="26"/>
      <c r="K21" s="26"/>
      <c r="L21" s="26"/>
      <c r="M21" s="26"/>
      <c r="N21" s="122"/>
    </row>
  </sheetData>
  <mergeCells count="6">
    <mergeCell ref="A11:E11"/>
    <mergeCell ref="A2:N2"/>
    <mergeCell ref="A6:A10"/>
    <mergeCell ref="B6:B10"/>
    <mergeCell ref="C6:C10"/>
    <mergeCell ref="D6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rightToLeft="1" topLeftCell="A8" zoomScale="80" zoomScaleNormal="80" workbookViewId="0">
      <selection activeCell="D26" sqref="D26"/>
    </sheetView>
  </sheetViews>
  <sheetFormatPr defaultColWidth="9" defaultRowHeight="18.75"/>
  <cols>
    <col min="1" max="1" width="9" style="148"/>
    <col min="2" max="2" width="16.625" style="148" customWidth="1"/>
    <col min="3" max="3" width="52.125" style="148" customWidth="1"/>
    <col min="4" max="4" width="16" style="153" customWidth="1"/>
    <col min="5" max="5" width="15.625" style="148" customWidth="1"/>
    <col min="6" max="7" width="16" style="153" customWidth="1"/>
    <col min="8" max="8" width="28" style="148" customWidth="1"/>
    <col min="9" max="9" width="36.625" style="165" bestFit="1" customWidth="1"/>
    <col min="10" max="10" width="19.625" style="148" customWidth="1"/>
    <col min="11" max="11" width="24.625" style="148" customWidth="1"/>
    <col min="12" max="12" width="19.625" style="148" customWidth="1"/>
    <col min="13" max="13" width="9" style="148"/>
    <col min="14" max="14" width="13.625" style="148" customWidth="1"/>
    <col min="15" max="15" width="10.125" style="148" bestFit="1" customWidth="1"/>
    <col min="16" max="16384" width="9" style="148"/>
  </cols>
  <sheetData>
    <row r="1" spans="2:15" ht="26.25">
      <c r="B1" s="359" t="s">
        <v>361</v>
      </c>
      <c r="C1" s="359"/>
      <c r="D1" s="359"/>
      <c r="E1" s="359"/>
      <c r="F1" s="359"/>
      <c r="G1" s="359"/>
      <c r="H1" s="359"/>
      <c r="I1" s="359"/>
    </row>
    <row r="2" spans="2:15" ht="26.25">
      <c r="B2" s="264"/>
      <c r="C2" s="264"/>
      <c r="D2" s="264"/>
      <c r="E2" s="264"/>
      <c r="F2" s="264"/>
      <c r="G2" s="264"/>
      <c r="H2" s="264"/>
    </row>
    <row r="3" spans="2:15" ht="26.25">
      <c r="B3" s="372"/>
      <c r="C3" s="373"/>
      <c r="D3" s="264"/>
      <c r="E3" s="264"/>
      <c r="F3" s="264"/>
      <c r="G3" s="264"/>
      <c r="H3" s="264"/>
    </row>
    <row r="4" spans="2:15" ht="19.5" thickBot="1">
      <c r="D4" s="374"/>
      <c r="E4" s="374"/>
      <c r="F4" s="374"/>
      <c r="G4" s="374"/>
      <c r="H4" s="374"/>
      <c r="I4" s="374"/>
      <c r="J4" s="374"/>
    </row>
    <row r="5" spans="2:15">
      <c r="C5" s="150" t="s">
        <v>318</v>
      </c>
      <c r="D5" s="166" t="s">
        <v>340</v>
      </c>
      <c r="F5" s="151"/>
      <c r="G5" s="151"/>
      <c r="I5" s="167" t="s">
        <v>237</v>
      </c>
      <c r="J5" s="168" t="s">
        <v>273</v>
      </c>
      <c r="K5" s="168" t="s">
        <v>239</v>
      </c>
      <c r="L5" s="168" t="s">
        <v>238</v>
      </c>
      <c r="O5" s="182"/>
    </row>
    <row r="6" spans="2:15" ht="19.5" thickBot="1">
      <c r="C6" s="169" t="s">
        <v>232</v>
      </c>
      <c r="D6" s="170">
        <f xml:space="preserve"> 'סיכום עלויות ג''נרלי'!B6:B10</f>
        <v>4100</v>
      </c>
      <c r="E6" s="151"/>
      <c r="F6" s="151"/>
      <c r="G6" s="151"/>
      <c r="H6" s="181"/>
      <c r="I6" s="152" t="s">
        <v>240</v>
      </c>
      <c r="J6" s="361"/>
      <c r="K6" s="375">
        <f xml:space="preserve"> J6 / $D$6</f>
        <v>0</v>
      </c>
      <c r="L6" s="361">
        <f xml:space="preserve"> K6 * 12</f>
        <v>0</v>
      </c>
      <c r="N6" s="184"/>
      <c r="O6" s="182"/>
    </row>
    <row r="7" spans="2:15">
      <c r="E7" s="151"/>
      <c r="I7" s="152" t="s">
        <v>241</v>
      </c>
      <c r="J7" s="363"/>
      <c r="K7" s="376"/>
      <c r="L7" s="363"/>
      <c r="N7" s="184"/>
      <c r="O7" s="182"/>
    </row>
    <row r="8" spans="2:15">
      <c r="D8" s="154" t="s">
        <v>273</v>
      </c>
      <c r="E8" s="154" t="s">
        <v>242</v>
      </c>
      <c r="F8" s="154" t="s">
        <v>238</v>
      </c>
      <c r="G8" s="154" t="s">
        <v>32</v>
      </c>
      <c r="I8" s="152" t="s">
        <v>243</v>
      </c>
      <c r="J8" s="171"/>
      <c r="K8" s="171" t="s">
        <v>274</v>
      </c>
      <c r="L8" s="171" t="s">
        <v>274</v>
      </c>
      <c r="N8" s="184"/>
      <c r="O8" s="182"/>
    </row>
    <row r="9" spans="2:15">
      <c r="B9" s="155">
        <v>1</v>
      </c>
      <c r="C9" s="155" t="s">
        <v>237</v>
      </c>
      <c r="D9" s="162">
        <f xml:space="preserve"> J16</f>
        <v>0</v>
      </c>
      <c r="E9" s="162">
        <f t="shared" ref="E9:F9" si="0" xml:space="preserve"> K16</f>
        <v>0</v>
      </c>
      <c r="F9" s="162">
        <f t="shared" si="0"/>
        <v>0</v>
      </c>
      <c r="G9" s="188"/>
      <c r="H9" s="218"/>
      <c r="I9" s="152" t="s">
        <v>244</v>
      </c>
      <c r="J9" s="171"/>
      <c r="K9" s="171" t="s">
        <v>274</v>
      </c>
      <c r="L9" s="171" t="s">
        <v>274</v>
      </c>
      <c r="N9" s="184"/>
      <c r="O9" s="182"/>
    </row>
    <row r="10" spans="2:15">
      <c r="B10" s="155">
        <v>2</v>
      </c>
      <c r="C10" s="155" t="s">
        <v>245</v>
      </c>
      <c r="D10" s="162">
        <f xml:space="preserve"> J30</f>
        <v>67974.567459675542</v>
      </c>
      <c r="E10" s="162">
        <f t="shared" ref="E10:F10" si="1" xml:space="preserve"> K30</f>
        <v>16.579162795042816</v>
      </c>
      <c r="F10" s="162">
        <f t="shared" si="1"/>
        <v>198.94995354051377</v>
      </c>
      <c r="G10" s="188"/>
      <c r="H10" s="218"/>
      <c r="I10" s="152" t="s">
        <v>246</v>
      </c>
      <c r="J10" s="171"/>
      <c r="K10" s="172"/>
      <c r="L10" s="171"/>
      <c r="N10" s="183"/>
    </row>
    <row r="11" spans="2:15">
      <c r="B11" s="155">
        <v>3</v>
      </c>
      <c r="C11" s="155" t="s">
        <v>247</v>
      </c>
      <c r="D11" s="162">
        <f xml:space="preserve"> J40</f>
        <v>47838.143165126115</v>
      </c>
      <c r="E11" s="162">
        <f t="shared" ref="E11:F11" si="2" xml:space="preserve"> K40</f>
        <v>11.667839796372224</v>
      </c>
      <c r="F11" s="162">
        <f t="shared" si="2"/>
        <v>140.01407755646665</v>
      </c>
      <c r="G11" s="188"/>
      <c r="H11" s="218"/>
      <c r="I11" s="152"/>
      <c r="J11" s="171"/>
      <c r="K11" s="172"/>
      <c r="L11" s="171"/>
    </row>
    <row r="12" spans="2:15">
      <c r="B12" s="155">
        <v>4</v>
      </c>
      <c r="C12" s="155" t="s">
        <v>248</v>
      </c>
      <c r="D12" s="162">
        <f>J48</f>
        <v>0</v>
      </c>
      <c r="E12" s="162">
        <f t="shared" ref="E12:F12" si="3">K48</f>
        <v>0</v>
      </c>
      <c r="F12" s="162">
        <f t="shared" si="3"/>
        <v>0</v>
      </c>
      <c r="G12" s="188"/>
      <c r="H12" s="218"/>
      <c r="I12" s="152"/>
      <c r="J12" s="171"/>
      <c r="K12" s="172"/>
      <c r="L12" s="171"/>
    </row>
    <row r="13" spans="2:15">
      <c r="B13" s="155">
        <v>5</v>
      </c>
      <c r="C13" s="155" t="s">
        <v>249</v>
      </c>
      <c r="D13" s="162">
        <f>J56</f>
        <v>0</v>
      </c>
      <c r="E13" s="162">
        <f t="shared" ref="E13:F13" si="4">K56</f>
        <v>0</v>
      </c>
      <c r="F13" s="162">
        <f t="shared" si="4"/>
        <v>0</v>
      </c>
      <c r="G13" s="188"/>
      <c r="H13" s="218"/>
      <c r="I13" s="152"/>
      <c r="J13" s="171"/>
      <c r="K13" s="172"/>
      <c r="L13" s="171"/>
    </row>
    <row r="14" spans="2:15" ht="39.75">
      <c r="B14" s="155">
        <v>6</v>
      </c>
      <c r="C14" s="155" t="s">
        <v>350</v>
      </c>
      <c r="D14" s="162">
        <f xml:space="preserve"> 'סיכום עלויות ג''נרלי'!L10</f>
        <v>6833.3333333333339</v>
      </c>
      <c r="E14" s="162">
        <f xml:space="preserve"> D14 / $D$6</f>
        <v>1.6666666666666667</v>
      </c>
      <c r="F14" s="162">
        <f xml:space="preserve"> E14 * 12</f>
        <v>20</v>
      </c>
      <c r="G14" s="189" t="s">
        <v>278</v>
      </c>
      <c r="H14" s="218"/>
      <c r="I14" s="152"/>
      <c r="J14" s="171"/>
      <c r="K14" s="172"/>
      <c r="L14" s="171"/>
    </row>
    <row r="15" spans="2:15">
      <c r="B15" s="377" t="s">
        <v>33</v>
      </c>
      <c r="C15" s="377"/>
      <c r="D15" s="162">
        <f>SUM(D9:D14)</f>
        <v>122646.04395813499</v>
      </c>
      <c r="E15" s="162">
        <f>SUM(E9:E14)</f>
        <v>29.913669258081708</v>
      </c>
      <c r="F15" s="162">
        <f>SUM(F9:F14)</f>
        <v>358.96403109698042</v>
      </c>
      <c r="G15" s="188"/>
      <c r="H15" s="218"/>
      <c r="I15" s="152"/>
      <c r="J15" s="171"/>
      <c r="K15" s="172"/>
      <c r="L15" s="171"/>
    </row>
    <row r="16" spans="2:15" ht="19.5" thickBot="1">
      <c r="E16" s="151"/>
      <c r="I16" s="155" t="s">
        <v>250</v>
      </c>
      <c r="J16" s="195">
        <f>SUM(J6:J13)</f>
        <v>0</v>
      </c>
      <c r="K16" s="195">
        <f>SUM(K6:K13)</f>
        <v>0</v>
      </c>
      <c r="L16" s="195">
        <f>SUM(L6:L13)</f>
        <v>0</v>
      </c>
    </row>
    <row r="17" spans="1:12" ht="19.5" thickBot="1">
      <c r="B17" s="190" t="s">
        <v>233</v>
      </c>
      <c r="C17" s="191">
        <v>7.0000000000000007E-2</v>
      </c>
      <c r="D17" s="163" t="s">
        <v>277</v>
      </c>
      <c r="E17" s="163" t="s">
        <v>277</v>
      </c>
      <c r="F17" s="192" t="s">
        <v>277</v>
      </c>
      <c r="G17" s="159"/>
      <c r="I17" s="151"/>
      <c r="J17" s="174"/>
      <c r="K17" s="151"/>
      <c r="L17" s="174"/>
    </row>
    <row r="18" spans="1:12">
      <c r="E18" s="156"/>
      <c r="I18" s="167" t="s">
        <v>245</v>
      </c>
      <c r="J18" s="168" t="s">
        <v>273</v>
      </c>
      <c r="K18" s="168" t="s">
        <v>239</v>
      </c>
      <c r="L18" s="168" t="s">
        <v>238</v>
      </c>
    </row>
    <row r="19" spans="1:12">
      <c r="B19" s="155">
        <v>6</v>
      </c>
      <c r="C19" s="155" t="s">
        <v>279</v>
      </c>
      <c r="D19" s="161"/>
      <c r="E19" s="186">
        <f xml:space="preserve"> D19 / $D$6</f>
        <v>0</v>
      </c>
      <c r="F19" s="187">
        <f xml:space="preserve"> E19 * 12</f>
        <v>0</v>
      </c>
      <c r="G19" s="188" t="s">
        <v>306</v>
      </c>
      <c r="I19" s="152" t="s">
        <v>251</v>
      </c>
      <c r="J19" s="378">
        <f xml:space="preserve"> 'סיכום עלויות ג''נרלי'!F10  + 'סיכום עלויות ג''נרלי'!G10- J40</f>
        <v>67974.567459675542</v>
      </c>
      <c r="K19" s="361">
        <f xml:space="preserve"> J19 / $D$6</f>
        <v>16.579162795042816</v>
      </c>
      <c r="L19" s="361">
        <f xml:space="preserve"> K19 * 12</f>
        <v>198.94995354051377</v>
      </c>
    </row>
    <row r="20" spans="1:12">
      <c r="B20" s="155">
        <v>7</v>
      </c>
      <c r="C20" s="155" t="s">
        <v>280</v>
      </c>
      <c r="D20" s="161"/>
      <c r="E20" s="186">
        <f xml:space="preserve"> D20 / $D$6</f>
        <v>0</v>
      </c>
      <c r="F20" s="187">
        <f xml:space="preserve"> E20 * 12</f>
        <v>0</v>
      </c>
      <c r="G20" s="188" t="s">
        <v>306</v>
      </c>
      <c r="I20" s="175" t="s">
        <v>252</v>
      </c>
      <c r="J20" s="379"/>
      <c r="K20" s="362"/>
      <c r="L20" s="362"/>
    </row>
    <row r="21" spans="1:12">
      <c r="B21" s="155">
        <v>8</v>
      </c>
      <c r="C21" s="155" t="s">
        <v>253</v>
      </c>
      <c r="D21" s="381" t="s">
        <v>281</v>
      </c>
      <c r="E21" s="382"/>
      <c r="F21" s="382"/>
      <c r="G21" s="185"/>
      <c r="I21" s="176" t="s">
        <v>254</v>
      </c>
      <c r="J21" s="379"/>
      <c r="K21" s="362"/>
      <c r="L21" s="362"/>
    </row>
    <row r="22" spans="1:12" ht="19.5" thickBot="1">
      <c r="E22" s="151"/>
      <c r="I22" s="152" t="s">
        <v>255</v>
      </c>
      <c r="J22" s="379"/>
      <c r="K22" s="362"/>
      <c r="L22" s="362"/>
    </row>
    <row r="23" spans="1:12" ht="19.5" thickBot="1">
      <c r="B23" s="173" t="s">
        <v>233</v>
      </c>
      <c r="C23" s="177">
        <v>3.5000000000000003E-2</v>
      </c>
      <c r="D23" s="193">
        <f xml:space="preserve"> (D19 + D20) * 0.035</f>
        <v>0</v>
      </c>
      <c r="E23" s="186">
        <f xml:space="preserve"> D23 / $D$6</f>
        <v>0</v>
      </c>
      <c r="F23" s="187">
        <f xml:space="preserve"> E23 * 12</f>
        <v>0</v>
      </c>
      <c r="G23" s="159"/>
      <c r="I23" s="152" t="s">
        <v>256</v>
      </c>
      <c r="J23" s="379"/>
      <c r="K23" s="362"/>
      <c r="L23" s="362"/>
    </row>
    <row r="24" spans="1:12">
      <c r="B24" s="157"/>
      <c r="C24" s="158"/>
      <c r="D24" s="159"/>
      <c r="E24" s="151"/>
      <c r="F24" s="159"/>
      <c r="G24" s="159"/>
      <c r="I24" s="152" t="s">
        <v>257</v>
      </c>
      <c r="J24" s="379"/>
      <c r="K24" s="362"/>
      <c r="L24" s="362"/>
    </row>
    <row r="25" spans="1:12">
      <c r="B25" s="155" t="s">
        <v>234</v>
      </c>
      <c r="C25" s="152"/>
      <c r="D25" s="162">
        <f xml:space="preserve"> D15 + D19 + D20 + D23</f>
        <v>122646.04395813499</v>
      </c>
      <c r="E25" s="164">
        <f xml:space="preserve"> E15 + E19 + E20 + E23</f>
        <v>29.913669258081708</v>
      </c>
      <c r="F25" s="164">
        <f xml:space="preserve"> F15 + F19 + F20 + F23</f>
        <v>358.96403109698042</v>
      </c>
      <c r="G25" s="185"/>
      <c r="I25" s="152" t="s">
        <v>258</v>
      </c>
      <c r="J25" s="379"/>
      <c r="K25" s="362"/>
      <c r="L25" s="362"/>
    </row>
    <row r="26" spans="1:12">
      <c r="B26" s="155" t="s">
        <v>235</v>
      </c>
      <c r="C26" s="160">
        <v>0.17</v>
      </c>
      <c r="D26" s="162">
        <f>D25*0.17</f>
        <v>20849.827472882949</v>
      </c>
      <c r="E26" s="162">
        <f t="shared" ref="E26:F26" si="5">E25*0.17</f>
        <v>5.085323773873891</v>
      </c>
      <c r="F26" s="162">
        <f t="shared" si="5"/>
        <v>61.023885286486674</v>
      </c>
      <c r="G26" s="185"/>
      <c r="I26" s="152" t="s">
        <v>259</v>
      </c>
      <c r="J26" s="380"/>
      <c r="K26" s="363"/>
      <c r="L26" s="363"/>
    </row>
    <row r="27" spans="1:12">
      <c r="B27" s="155" t="s">
        <v>236</v>
      </c>
      <c r="C27" s="152"/>
      <c r="D27" s="162">
        <f>D26+D25</f>
        <v>143495.87143101793</v>
      </c>
      <c r="E27" s="162">
        <f t="shared" ref="E27:F27" si="6">E26+E25</f>
        <v>34.9989930319556</v>
      </c>
      <c r="F27" s="162">
        <f t="shared" si="6"/>
        <v>419.98791638346711</v>
      </c>
      <c r="G27" s="185"/>
      <c r="I27" s="176" t="s">
        <v>275</v>
      </c>
      <c r="K27" s="161">
        <f xml:space="preserve"> J27 / $D$6</f>
        <v>0</v>
      </c>
      <c r="L27" s="162">
        <f xml:space="preserve"> K27 * 12</f>
        <v>0</v>
      </c>
    </row>
    <row r="28" spans="1:12">
      <c r="B28" s="157"/>
      <c r="C28" s="151"/>
      <c r="D28" s="291"/>
      <c r="E28" s="291"/>
      <c r="F28" s="291"/>
      <c r="G28" s="185"/>
      <c r="I28" s="176"/>
      <c r="K28" s="161"/>
      <c r="L28" s="162"/>
    </row>
    <row r="29" spans="1:12">
      <c r="E29" s="151"/>
      <c r="I29" s="266" t="s">
        <v>337</v>
      </c>
      <c r="J29" s="162"/>
      <c r="K29" s="161">
        <f xml:space="preserve"> J29 / $D$6</f>
        <v>0</v>
      </c>
      <c r="L29" s="162">
        <f xml:space="preserve"> K29 * 12</f>
        <v>0</v>
      </c>
    </row>
    <row r="30" spans="1:12">
      <c r="D30" s="148"/>
      <c r="F30" s="148"/>
      <c r="G30" s="148"/>
      <c r="I30" s="178" t="s">
        <v>33</v>
      </c>
      <c r="J30" s="195">
        <f>SUM(J19:J29)</f>
        <v>67974.567459675542</v>
      </c>
      <c r="K30" s="195">
        <f t="shared" ref="K30:L30" si="7">SUM(K19:K29)</f>
        <v>16.579162795042816</v>
      </c>
      <c r="L30" s="195">
        <f t="shared" si="7"/>
        <v>198.94995354051377</v>
      </c>
    </row>
    <row r="31" spans="1:12" ht="19.5" thickBot="1">
      <c r="D31" s="148"/>
      <c r="F31" s="148"/>
      <c r="G31" s="148"/>
      <c r="I31" s="179"/>
      <c r="J31" s="174"/>
      <c r="K31" s="151"/>
      <c r="L31" s="174"/>
    </row>
    <row r="32" spans="1:12">
      <c r="A32" s="151"/>
      <c r="B32" s="365" t="s">
        <v>360</v>
      </c>
      <c r="C32" s="353"/>
      <c r="D32" s="353"/>
      <c r="E32" s="353"/>
      <c r="F32" s="354"/>
      <c r="G32" s="148"/>
      <c r="I32" s="167" t="s">
        <v>247</v>
      </c>
      <c r="J32" s="168" t="s">
        <v>273</v>
      </c>
      <c r="K32" s="168" t="s">
        <v>239</v>
      </c>
      <c r="L32" s="168" t="s">
        <v>238</v>
      </c>
    </row>
    <row r="33" spans="2:14">
      <c r="B33" s="366"/>
      <c r="C33" s="355"/>
      <c r="D33" s="355"/>
      <c r="E33" s="355"/>
      <c r="F33" s="356"/>
      <c r="I33" s="152" t="s">
        <v>260</v>
      </c>
      <c r="J33" s="198">
        <f xml:space="preserve"> 'סיכום עלויות ג''נרלי'!F7 + 'סיכום עלויות ג''נרלי'!G7 + 2000</f>
        <v>46174.463165126115</v>
      </c>
      <c r="K33" s="161">
        <f xml:space="preserve"> J33 / $D$6</f>
        <v>11.262064186616126</v>
      </c>
      <c r="L33" s="162">
        <f xml:space="preserve"> K33 * 12</f>
        <v>135.14477023939349</v>
      </c>
    </row>
    <row r="34" spans="2:14" ht="19.5" thickBot="1">
      <c r="B34" s="367"/>
      <c r="C34" s="357"/>
      <c r="D34" s="357"/>
      <c r="E34" s="357"/>
      <c r="F34" s="358"/>
      <c r="G34" s="221"/>
      <c r="I34" s="152" t="s">
        <v>261</v>
      </c>
      <c r="J34" s="162"/>
      <c r="K34" s="172"/>
      <c r="L34" s="171"/>
    </row>
    <row r="35" spans="2:14" ht="19.5" thickBot="1">
      <c r="I35" s="152" t="s">
        <v>262</v>
      </c>
      <c r="J35" s="162">
        <v>400</v>
      </c>
      <c r="K35" s="161">
        <f xml:space="preserve"> J35 / $D$6</f>
        <v>9.7560975609756101E-2</v>
      </c>
      <c r="L35" s="162">
        <f xml:space="preserve"> K35 * 12</f>
        <v>1.1707317073170733</v>
      </c>
    </row>
    <row r="36" spans="2:14">
      <c r="B36" s="394" t="s">
        <v>356</v>
      </c>
      <c r="C36" s="273" t="s">
        <v>359</v>
      </c>
      <c r="D36" s="249" t="s">
        <v>326</v>
      </c>
      <c r="E36" s="249" t="s">
        <v>325</v>
      </c>
      <c r="F36" s="166" t="s">
        <v>324</v>
      </c>
      <c r="I36" s="180" t="s">
        <v>263</v>
      </c>
      <c r="J36" s="162"/>
      <c r="K36" s="161">
        <f t="shared" ref="K36:K38" si="8" xml:space="preserve"> J36 / $D$6</f>
        <v>0</v>
      </c>
      <c r="L36" s="162">
        <f t="shared" ref="L36:L38" si="9" xml:space="preserve"> K36 * 12</f>
        <v>0</v>
      </c>
      <c r="N36" s="151"/>
    </row>
    <row r="37" spans="2:14" ht="19.5" thickBot="1">
      <c r="B37" s="395"/>
      <c r="C37" s="274">
        <v>12</v>
      </c>
      <c r="D37" s="272">
        <f xml:space="preserve"> D6</f>
        <v>4100</v>
      </c>
      <c r="E37" s="252">
        <f xml:space="preserve"> D37 * C37</f>
        <v>49200</v>
      </c>
      <c r="F37" s="253">
        <f xml:space="preserve"> E37 * 12</f>
        <v>590400</v>
      </c>
      <c r="I37" s="152" t="s">
        <v>264</v>
      </c>
      <c r="J37" s="162"/>
      <c r="K37" s="161">
        <f t="shared" si="8"/>
        <v>0</v>
      </c>
      <c r="L37" s="162">
        <f t="shared" si="9"/>
        <v>0</v>
      </c>
      <c r="N37" s="151"/>
    </row>
    <row r="38" spans="2:14" ht="19.5" thickBot="1">
      <c r="B38" s="395"/>
      <c r="C38" s="151"/>
      <c r="D38" s="185"/>
      <c r="E38" s="151"/>
      <c r="F38" s="185"/>
      <c r="I38" s="152" t="s">
        <v>246</v>
      </c>
      <c r="J38" s="162"/>
      <c r="K38" s="161">
        <f t="shared" si="8"/>
        <v>0</v>
      </c>
      <c r="L38" s="162">
        <f t="shared" si="9"/>
        <v>0</v>
      </c>
      <c r="N38" s="174"/>
    </row>
    <row r="39" spans="2:14">
      <c r="B39" s="395"/>
      <c r="C39" s="273" t="s">
        <v>328</v>
      </c>
      <c r="D39" s="257"/>
      <c r="E39" s="257">
        <v>2021</v>
      </c>
      <c r="F39" s="258" t="s">
        <v>354</v>
      </c>
      <c r="I39" s="180" t="s">
        <v>276</v>
      </c>
      <c r="J39" s="162">
        <f xml:space="preserve"> 'סיכום עלויות ג''נרלי'!F6</f>
        <v>1263.68</v>
      </c>
      <c r="K39" s="161">
        <f xml:space="preserve"> J39 / $D$6</f>
        <v>0.30821463414634148</v>
      </c>
      <c r="L39" s="162">
        <f xml:space="preserve"> K39 * 12</f>
        <v>3.698575609756098</v>
      </c>
      <c r="N39" s="151"/>
    </row>
    <row r="40" spans="2:14" ht="19.5" thickBot="1">
      <c r="B40" s="396"/>
      <c r="C40" s="172" t="s">
        <v>352</v>
      </c>
      <c r="D40" s="247"/>
      <c r="E40" s="247">
        <v>350000</v>
      </c>
      <c r="F40" s="255">
        <f t="shared" ref="F40:F45" si="10">SUM(D40:E40)</f>
        <v>350000</v>
      </c>
      <c r="I40" s="155" t="s">
        <v>33</v>
      </c>
      <c r="J40" s="195">
        <f>SUM(J33:J39)</f>
        <v>47838.143165126115</v>
      </c>
      <c r="K40" s="195">
        <f>SUM(K33:K39)</f>
        <v>11.667839796372224</v>
      </c>
      <c r="L40" s="195">
        <f>SUM(L33:L39)</f>
        <v>140.01407755646665</v>
      </c>
    </row>
    <row r="41" spans="2:14">
      <c r="C41" s="254" t="s">
        <v>357</v>
      </c>
      <c r="D41" s="247"/>
      <c r="E41" s="247">
        <v>100000</v>
      </c>
      <c r="F41" s="255">
        <f t="shared" si="10"/>
        <v>100000</v>
      </c>
      <c r="I41" s="151"/>
      <c r="J41" s="174"/>
      <c r="K41" s="151"/>
      <c r="L41" s="174"/>
    </row>
    <row r="42" spans="2:14">
      <c r="C42" s="254" t="s">
        <v>385</v>
      </c>
      <c r="D42" s="247"/>
      <c r="E42" s="247">
        <v>120000</v>
      </c>
      <c r="F42" s="255">
        <f t="shared" si="10"/>
        <v>120000</v>
      </c>
      <c r="I42" s="167" t="s">
        <v>265</v>
      </c>
      <c r="J42" s="168" t="s">
        <v>238</v>
      </c>
      <c r="K42" s="168" t="s">
        <v>239</v>
      </c>
      <c r="L42" s="168" t="s">
        <v>238</v>
      </c>
    </row>
    <row r="43" spans="2:14">
      <c r="C43" s="254"/>
      <c r="D43" s="247"/>
      <c r="E43" s="247"/>
      <c r="F43" s="255">
        <f t="shared" si="10"/>
        <v>0</v>
      </c>
      <c r="I43" s="152" t="s">
        <v>266</v>
      </c>
      <c r="J43" s="171"/>
      <c r="K43" s="171" t="s">
        <v>274</v>
      </c>
      <c r="L43" s="171" t="s">
        <v>274</v>
      </c>
    </row>
    <row r="44" spans="2:14">
      <c r="C44" s="254"/>
      <c r="D44" s="247"/>
      <c r="E44" s="247"/>
      <c r="F44" s="255">
        <f t="shared" si="10"/>
        <v>0</v>
      </c>
      <c r="I44" s="152" t="s">
        <v>267</v>
      </c>
      <c r="J44" s="171"/>
      <c r="K44" s="171" t="s">
        <v>274</v>
      </c>
      <c r="L44" s="171" t="s">
        <v>274</v>
      </c>
    </row>
    <row r="45" spans="2:14" ht="19.5" thickBot="1">
      <c r="C45" s="250"/>
      <c r="D45" s="256"/>
      <c r="E45" s="256"/>
      <c r="F45" s="255">
        <f t="shared" si="10"/>
        <v>0</v>
      </c>
      <c r="I45" s="180" t="s">
        <v>268</v>
      </c>
      <c r="J45" s="171"/>
      <c r="K45" s="171" t="s">
        <v>274</v>
      </c>
      <c r="L45" s="171" t="s">
        <v>274</v>
      </c>
    </row>
    <row r="46" spans="2:14" ht="19.5" thickBot="1">
      <c r="C46" s="260" t="s">
        <v>33</v>
      </c>
      <c r="D46" s="259">
        <f>SUM(D40:D45)</f>
        <v>0</v>
      </c>
      <c r="E46" s="259">
        <f>SUM(E40:E45)</f>
        <v>570000</v>
      </c>
      <c r="F46" s="253">
        <f t="shared" ref="F46" si="11">SUM(F39:F45)</f>
        <v>570000</v>
      </c>
      <c r="I46" s="152" t="s">
        <v>321</v>
      </c>
      <c r="J46" s="171"/>
      <c r="K46" s="171" t="s">
        <v>274</v>
      </c>
      <c r="L46" s="171" t="s">
        <v>274</v>
      </c>
    </row>
    <row r="47" spans="2:14">
      <c r="I47" s="180" t="s">
        <v>269</v>
      </c>
      <c r="J47" s="171"/>
      <c r="K47" s="172"/>
      <c r="L47" s="171"/>
    </row>
    <row r="48" spans="2:14">
      <c r="I48" s="155" t="s">
        <v>33</v>
      </c>
      <c r="J48" s="195">
        <f>SUM(J43:J47)</f>
        <v>0</v>
      </c>
      <c r="K48" s="195">
        <f>SUM(K43:K47)</f>
        <v>0</v>
      </c>
      <c r="L48" s="195">
        <f>SUM(L43:L47)</f>
        <v>0</v>
      </c>
    </row>
    <row r="49" spans="9:12">
      <c r="I49" s="151"/>
      <c r="J49" s="174"/>
      <c r="K49" s="151"/>
      <c r="L49" s="174"/>
    </row>
    <row r="50" spans="9:12">
      <c r="I50" s="167" t="s">
        <v>249</v>
      </c>
      <c r="J50" s="168" t="s">
        <v>273</v>
      </c>
      <c r="K50" s="168" t="s">
        <v>239</v>
      </c>
      <c r="L50" s="168" t="s">
        <v>238</v>
      </c>
    </row>
    <row r="51" spans="9:12">
      <c r="I51" s="152" t="s">
        <v>270</v>
      </c>
      <c r="J51" s="368"/>
      <c r="K51" s="368">
        <f xml:space="preserve"> J51/ $D$6</f>
        <v>0</v>
      </c>
      <c r="L51" s="368">
        <f xml:space="preserve"> K51 * 12</f>
        <v>0</v>
      </c>
    </row>
    <row r="52" spans="9:12">
      <c r="I52" s="152" t="s">
        <v>271</v>
      </c>
      <c r="J52" s="369"/>
      <c r="K52" s="369"/>
      <c r="L52" s="369"/>
    </row>
    <row r="53" spans="9:12">
      <c r="I53" s="152" t="s">
        <v>272</v>
      </c>
      <c r="J53" s="370"/>
      <c r="K53" s="370"/>
      <c r="L53" s="370"/>
    </row>
    <row r="54" spans="9:12">
      <c r="I54" s="180" t="s">
        <v>246</v>
      </c>
      <c r="J54" s="171"/>
      <c r="K54" s="172"/>
      <c r="L54" s="171"/>
    </row>
    <row r="55" spans="9:12">
      <c r="I55" s="180"/>
      <c r="J55" s="171"/>
      <c r="K55" s="172"/>
      <c r="L55" s="171"/>
    </row>
    <row r="56" spans="9:12">
      <c r="I56" s="155" t="s">
        <v>33</v>
      </c>
      <c r="J56" s="194">
        <f>SUM(J51:J55)</f>
        <v>0</v>
      </c>
      <c r="K56" s="194">
        <f>SUM(K51:K55)</f>
        <v>0</v>
      </c>
      <c r="L56" s="194">
        <f>SUM(L51:L55)</f>
        <v>0</v>
      </c>
    </row>
    <row r="57" spans="9:12">
      <c r="I57" s="174"/>
      <c r="J57" s="151"/>
      <c r="K57" s="151"/>
      <c r="L57" s="151"/>
    </row>
  </sheetData>
  <mergeCells count="16">
    <mergeCell ref="J51:J53"/>
    <mergeCell ref="K51:K53"/>
    <mergeCell ref="L51:L53"/>
    <mergeCell ref="B15:C15"/>
    <mergeCell ref="J19:J26"/>
    <mergeCell ref="K19:K26"/>
    <mergeCell ref="L19:L26"/>
    <mergeCell ref="D21:F21"/>
    <mergeCell ref="B32:F34"/>
    <mergeCell ref="B36:B40"/>
    <mergeCell ref="L6:L7"/>
    <mergeCell ref="B1:I1"/>
    <mergeCell ref="B3:C3"/>
    <mergeCell ref="D4:J4"/>
    <mergeCell ref="J6:J7"/>
    <mergeCell ref="K6:K7"/>
  </mergeCells>
  <pageMargins left="0.70866141732283505" right="0.70866141732283505" top="0.74803149606299202" bottom="0.74803149606299202" header="0.31496062992126" footer="0.31496062992126"/>
  <pageSetup paperSize="9" scale="4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24</vt:i4>
      </vt:variant>
      <vt:variant>
        <vt:lpstr>טווחים בעלי שם</vt:lpstr>
      </vt:variant>
      <vt:variant>
        <vt:i4>20</vt:i4>
      </vt:variant>
    </vt:vector>
  </HeadingPairs>
  <TitlesOfParts>
    <vt:vector size="44" baseType="lpstr">
      <vt:lpstr>סיכום עלויות - דצמבר 16 בפועל</vt:lpstr>
      <vt:lpstr>תקציב שנתי - דוח מנהלים </vt:lpstr>
      <vt:lpstr>תקציב חודשי - דוח מנהלים</vt:lpstr>
      <vt:lpstr>תקציב לכלל האתרים</vt:lpstr>
      <vt:lpstr>תקציב הלל</vt:lpstr>
      <vt:lpstr>סיכום עלויות  - הלל</vt:lpstr>
      <vt:lpstr>תקציב רשות אוכלוסין</vt:lpstr>
      <vt:lpstr>סיכום עלויות - רשות אוכלוסין</vt:lpstr>
      <vt:lpstr>תקציב ג'נרלי</vt:lpstr>
      <vt:lpstr>סיכום עלויות ג'נרלי</vt:lpstr>
      <vt:lpstr>תקציב חפציבה</vt:lpstr>
      <vt:lpstr>סיכום עלויות חפציבה</vt:lpstr>
      <vt:lpstr>תקציב עטרות</vt:lpstr>
      <vt:lpstr>סיכום עלויות עטרות</vt:lpstr>
      <vt:lpstr>תקציב מאמוניה</vt:lpstr>
      <vt:lpstr>תקציב מנחם בגין</vt:lpstr>
      <vt:lpstr>סיכום עלויות חודשי - צמוד 01.19</vt:lpstr>
      <vt:lpstr>סיכום עלויות מנחם בגין ומאמוניה</vt:lpstr>
      <vt:lpstr>סיכום עלויות חודשי - צמוד 01.17</vt:lpstr>
      <vt:lpstr>סיכום עלויות חודשי - בסיס</vt:lpstr>
      <vt:lpstr>מדדים - סיכום</vt:lpstr>
      <vt:lpstr>מדד המחירים לצרכן</vt:lpstr>
      <vt:lpstr>השכר הממוצע לפי ביטוח לאומי</vt:lpstr>
      <vt:lpstr>הצמדה שעת נקיון </vt:lpstr>
      <vt:lpstr>'סיכום עלויות - דצמבר 16 בפועל'!WPrint_Area_W</vt:lpstr>
      <vt:lpstr>'סיכום עלויות - רשות אוכלוסין'!WPrint_Area_W</vt:lpstr>
      <vt:lpstr>'סיכום עלויות  - הלל'!WPrint_Area_W</vt:lpstr>
      <vt:lpstr>'סיכום עלויות ג''נרלי'!WPrint_Area_W</vt:lpstr>
      <vt:lpstr>'סיכום עלויות חודשי - בסיס'!WPrint_Area_W</vt:lpstr>
      <vt:lpstr>'סיכום עלויות חודשי - צמוד 01.17'!WPrint_Area_W</vt:lpstr>
      <vt:lpstr>'סיכום עלויות חודשי - צמוד 01.19'!WPrint_Area_W</vt:lpstr>
      <vt:lpstr>'סיכום עלויות חפציבה'!WPrint_Area_W</vt:lpstr>
      <vt:lpstr>'סיכום עלויות מנחם בגין ומאמוניה'!WPrint_Area_W</vt:lpstr>
      <vt:lpstr>'סיכום עלויות עטרות'!WPrint_Area_W</vt:lpstr>
      <vt:lpstr>'תקציב ג''נרלי'!WPrint_Area_W</vt:lpstr>
      <vt:lpstr>'תקציב הלל'!WPrint_Area_W</vt:lpstr>
      <vt:lpstr>'תקציב חודשי - דוח מנהלים'!WPrint_Area_W</vt:lpstr>
      <vt:lpstr>'תקציב חפציבה'!WPrint_Area_W</vt:lpstr>
      <vt:lpstr>'תקציב לכלל האתרים'!WPrint_Area_W</vt:lpstr>
      <vt:lpstr>'תקציב מאמוניה'!WPrint_Area_W</vt:lpstr>
      <vt:lpstr>'תקציב מנחם בגין'!WPrint_Area_W</vt:lpstr>
      <vt:lpstr>'תקציב עטרות'!WPrint_Area_W</vt:lpstr>
      <vt:lpstr>'תקציב רשות אוכלוסין'!WPrint_Area_W</vt:lpstr>
      <vt:lpstr>'תקציב שנתי - דוח מנהלים 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</dc:creator>
  <cp:lastModifiedBy>אורי לאני</cp:lastModifiedBy>
  <cp:lastPrinted>2020-08-10T06:26:43Z</cp:lastPrinted>
  <dcterms:created xsi:type="dcterms:W3CDTF">2015-08-01T17:29:12Z</dcterms:created>
  <dcterms:modified xsi:type="dcterms:W3CDTF">2020-08-10T07:56:35Z</dcterms:modified>
</cp:coreProperties>
</file>